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510" windowWidth="15480" windowHeight="9315" activeTab="8"/>
  </bookViews>
  <sheets>
    <sheet name="DSI " sheetId="12" r:id="rId1"/>
    <sheet name="DC Int" sheetId="11" r:id="rId2"/>
    <sheet name="DFI " sheetId="10" r:id="rId3"/>
    <sheet name="GHyO" sheetId="9" r:id="rId4"/>
    <sheet name="S Gral" sheetId="6" r:id="rId5"/>
    <sheet name="COM" sheetId="4" r:id="rId6"/>
    <sheet name="DPI" sheetId="5" r:id="rId7"/>
    <sheet name=" DRE" sheetId="2" r:id="rId8"/>
    <sheet name="DENER" sheetId="8" r:id="rId9"/>
    <sheet name="DCI" sheetId="13" r:id="rId10"/>
    <sheet name="DA" sheetId="14" r:id="rId11"/>
  </sheets>
  <definedNames>
    <definedName name="_xlnm._FilterDatabase" localSheetId="0" hidden="1">'DSI '!$A$5:$Q$29</definedName>
    <definedName name="_xlnm.Print_Area" localSheetId="4">'S Gral'!$A$1:$Q$17</definedName>
    <definedName name="_xlnm.Print_Area">#REF!</definedName>
    <definedName name="_xlnm.Print_Titles" localSheetId="4">'S Gral'!$1:$6</definedName>
  </definedNames>
  <calcPr calcId="125725"/>
</workbook>
</file>

<file path=xl/calcChain.xml><?xml version="1.0" encoding="utf-8"?>
<calcChain xmlns="http://schemas.openxmlformats.org/spreadsheetml/2006/main">
  <c r="M286" i="8"/>
  <c r="C286"/>
  <c r="M210"/>
  <c r="M209"/>
  <c r="M208"/>
  <c r="M207"/>
  <c r="M206"/>
  <c r="M205"/>
  <c r="M204"/>
  <c r="M203"/>
  <c r="M202"/>
  <c r="M201"/>
  <c r="M200"/>
  <c r="M199"/>
  <c r="M198"/>
  <c r="M197"/>
  <c r="C197"/>
  <c r="M196"/>
  <c r="C196"/>
  <c r="M195"/>
  <c r="C195"/>
  <c r="M194"/>
  <c r="C194"/>
  <c r="M193"/>
  <c r="C193"/>
  <c r="M192"/>
  <c r="C192"/>
  <c r="M191"/>
  <c r="C191"/>
  <c r="M190"/>
  <c r="C190"/>
  <c r="M189"/>
  <c r="C189"/>
  <c r="M188"/>
  <c r="C188"/>
  <c r="M187"/>
  <c r="C187"/>
  <c r="M186"/>
  <c r="C186"/>
  <c r="M185"/>
  <c r="C185"/>
  <c r="M184"/>
  <c r="C184"/>
  <c r="M183"/>
  <c r="C183"/>
  <c r="M182"/>
  <c r="C182"/>
  <c r="M181"/>
  <c r="C181"/>
  <c r="M180"/>
  <c r="C180"/>
  <c r="M179"/>
  <c r="C179"/>
  <c r="C155"/>
  <c r="C152"/>
  <c r="M151"/>
  <c r="C151"/>
  <c r="C147"/>
  <c r="C144"/>
  <c r="M143"/>
  <c r="C143"/>
  <c r="M142"/>
  <c r="C142"/>
  <c r="M141"/>
  <c r="C141"/>
  <c r="M140"/>
  <c r="C140"/>
  <c r="M139"/>
  <c r="C139"/>
  <c r="M138"/>
  <c r="C138"/>
  <c r="M137"/>
  <c r="C137"/>
  <c r="M136"/>
  <c r="C136"/>
  <c r="C135"/>
  <c r="M134"/>
  <c r="C134"/>
  <c r="C133"/>
  <c r="M132"/>
  <c r="C132"/>
  <c r="C131"/>
  <c r="M130"/>
  <c r="C130"/>
  <c r="M129"/>
  <c r="C129"/>
  <c r="M128"/>
  <c r="C128"/>
  <c r="M127"/>
  <c r="M126"/>
  <c r="M125"/>
  <c r="M124"/>
  <c r="M123"/>
  <c r="M122"/>
  <c r="M121"/>
  <c r="M119"/>
  <c r="M118"/>
  <c r="M117"/>
  <c r="M116"/>
  <c r="M115"/>
  <c r="M114"/>
  <c r="M113"/>
  <c r="M112"/>
  <c r="M111"/>
  <c r="M110"/>
  <c r="M109"/>
  <c r="M108"/>
  <c r="M107"/>
  <c r="M106"/>
  <c r="M105"/>
  <c r="M104"/>
  <c r="M103"/>
  <c r="M102"/>
  <c r="M101"/>
  <c r="M100"/>
  <c r="M99"/>
  <c r="M98"/>
  <c r="M97"/>
  <c r="M96"/>
  <c r="M95"/>
  <c r="M94"/>
  <c r="M93"/>
  <c r="M92"/>
  <c r="M91"/>
  <c r="M90"/>
  <c r="M89"/>
  <c r="M88"/>
  <c r="M87"/>
  <c r="M86"/>
  <c r="M85"/>
  <c r="M84"/>
  <c r="M83"/>
  <c r="M80"/>
  <c r="M78"/>
  <c r="M75"/>
  <c r="M74"/>
  <c r="M73"/>
  <c r="M72"/>
  <c r="M71"/>
  <c r="M70"/>
  <c r="M69"/>
  <c r="M68"/>
  <c r="M67"/>
  <c r="M66"/>
  <c r="M65"/>
  <c r="M64"/>
  <c r="M63"/>
  <c r="M62"/>
  <c r="M61"/>
  <c r="M60"/>
  <c r="M59"/>
  <c r="M58"/>
  <c r="M57"/>
  <c r="M56"/>
  <c r="M55"/>
  <c r="M54"/>
  <c r="C19"/>
  <c r="N142" i="14" l="1"/>
  <c r="D141"/>
  <c r="N140"/>
  <c r="D139"/>
  <c r="N138"/>
  <c r="H137"/>
  <c r="N136"/>
  <c r="H134"/>
  <c r="D133"/>
  <c r="D132"/>
  <c r="D131"/>
  <c r="N130"/>
  <c r="H129"/>
  <c r="N128"/>
  <c r="H127"/>
  <c r="H126"/>
  <c r="H125"/>
  <c r="H123"/>
  <c r="H122"/>
  <c r="H121"/>
  <c r="H120"/>
  <c r="H119"/>
  <c r="N117"/>
  <c r="H116"/>
  <c r="D116"/>
  <c r="N115"/>
  <c r="H114"/>
  <c r="N113"/>
  <c r="N143" s="1"/>
  <c r="H112"/>
  <c r="D111"/>
  <c r="H110"/>
  <c r="H109"/>
  <c r="H108"/>
  <c r="D108"/>
  <c r="D106"/>
  <c r="N104"/>
  <c r="D103"/>
  <c r="N102"/>
  <c r="D101"/>
  <c r="N100"/>
  <c r="D99"/>
  <c r="H97"/>
  <c r="D97"/>
  <c r="H95"/>
  <c r="D94"/>
  <c r="H91"/>
  <c r="D90"/>
  <c r="H89"/>
  <c r="D88"/>
  <c r="H87"/>
  <c r="D87"/>
  <c r="N86"/>
  <c r="H85"/>
  <c r="H83"/>
  <c r="D83"/>
  <c r="D79"/>
  <c r="D78"/>
  <c r="N77"/>
  <c r="D75"/>
  <c r="D74"/>
  <c r="D71"/>
  <c r="H70"/>
  <c r="D69"/>
  <c r="H68"/>
  <c r="D68"/>
  <c r="N67"/>
  <c r="D66"/>
  <c r="H65"/>
  <c r="D63"/>
  <c r="D61"/>
  <c r="N60"/>
  <c r="H59"/>
  <c r="D59"/>
  <c r="N58"/>
  <c r="H56"/>
  <c r="H57" s="1"/>
  <c r="H55"/>
  <c r="D55"/>
  <c r="H54"/>
  <c r="G54"/>
  <c r="D52"/>
  <c r="H51"/>
  <c r="D51"/>
  <c r="D50"/>
  <c r="N49"/>
  <c r="N105" s="1"/>
  <c r="D48"/>
  <c r="D45"/>
  <c r="H32"/>
  <c r="N31"/>
  <c r="D31"/>
  <c r="H30"/>
  <c r="H29"/>
  <c r="H28"/>
  <c r="D28"/>
  <c r="N27"/>
  <c r="N25"/>
  <c r="H24"/>
  <c r="N23"/>
  <c r="H23"/>
  <c r="H22"/>
  <c r="N21"/>
  <c r="K21"/>
  <c r="H20"/>
  <c r="D20"/>
  <c r="N19"/>
  <c r="K19"/>
  <c r="H16"/>
  <c r="H14"/>
  <c r="D14"/>
  <c r="K13"/>
  <c r="D13"/>
  <c r="D12"/>
  <c r="N11"/>
  <c r="D11"/>
  <c r="N10"/>
  <c r="D10"/>
  <c r="N9"/>
  <c r="D9"/>
  <c r="N8"/>
  <c r="D8"/>
  <c r="N144" l="1"/>
  <c r="N27" i="12" l="1"/>
  <c r="D21"/>
  <c r="N7"/>
  <c r="P45" i="10" l="1"/>
  <c r="P41"/>
  <c r="P40"/>
  <c r="P39"/>
  <c r="P38"/>
  <c r="P37"/>
  <c r="P36"/>
  <c r="P35"/>
  <c r="D29"/>
  <c r="N10" i="6" l="1"/>
  <c r="N9"/>
  <c r="P10" i="5" l="1"/>
  <c r="P11"/>
  <c r="H18" i="2" l="1"/>
  <c r="N53"/>
  <c r="D53"/>
  <c r="N50"/>
  <c r="D50"/>
  <c r="D18"/>
  <c r="H17"/>
  <c r="D17"/>
  <c r="N16"/>
  <c r="N15"/>
  <c r="D15"/>
  <c r="N9"/>
  <c r="N7"/>
</calcChain>
</file>

<file path=xl/comments1.xml><?xml version="1.0" encoding="utf-8"?>
<comments xmlns="http://schemas.openxmlformats.org/spreadsheetml/2006/main">
  <authors>
    <author>lmazom</author>
    <author>mmondrag</author>
    <author>mherreh</author>
    <author>ORLANDO  PRADA LOPEZ</author>
  </authors>
  <commentList>
    <comment ref="K7" authorId="0">
      <text>
        <r>
          <rPr>
            <sz val="9"/>
            <color indexed="81"/>
            <rFont val="Tahoma"/>
            <family val="2"/>
          </rPr>
          <t>Hitos
- Capacitación en el sistema de información ERA.
- Capacitación en Gestión Integral de Riesgos a todo el Personal designado de la organización.
- Campañas de divulgación y sensibilización en GIR a toda la organización.
- Gestión Integral de Riesgos implementado.
- Diagnostico y diseño para el Programa de Continuidad.</t>
        </r>
      </text>
    </comment>
    <comment ref="G18" authorId="1">
      <text>
        <r>
          <rPr>
            <b/>
            <sz val="9"/>
            <color indexed="81"/>
            <rFont val="Calibri"/>
            <family val="2"/>
            <scheme val="minor"/>
          </rPr>
          <t>mmondrag:</t>
        </r>
        <r>
          <rPr>
            <sz val="9"/>
            <color indexed="81"/>
            <rFont val="Calibri"/>
            <family val="2"/>
            <scheme val="minor"/>
          </rPr>
          <t xml:space="preserve">
Inicio con UNE en julio 2007</t>
        </r>
      </text>
    </comment>
    <comment ref="H18" authorId="1">
      <text>
        <r>
          <rPr>
            <b/>
            <sz val="8"/>
            <color indexed="81"/>
            <rFont val="Tahoma"/>
            <family val="2"/>
          </rPr>
          <t>mmondrag:</t>
        </r>
        <r>
          <rPr>
            <sz val="8"/>
            <color indexed="81"/>
            <rFont val="Tahoma"/>
            <family val="2"/>
          </rPr>
          <t xml:space="preserve">
INICIO CON UNE EN JULIO 2007</t>
        </r>
      </text>
    </comment>
    <comment ref="K25" authorId="2">
      <text>
        <r>
          <rPr>
            <b/>
            <sz val="8"/>
            <color indexed="81"/>
            <rFont val="Tahoma"/>
            <family val="2"/>
          </rPr>
          <t>mherreh:</t>
        </r>
        <r>
          <rPr>
            <sz val="8"/>
            <color indexed="81"/>
            <rFont val="Tahoma"/>
            <family val="2"/>
          </rPr>
          <t xml:space="preserve">
Soporte permanente a sistema de información e implementación de 4 funcionalidades para mejora y optización del mismo</t>
        </r>
      </text>
    </comment>
    <comment ref="K26" authorId="2">
      <text>
        <r>
          <rPr>
            <b/>
            <sz val="8"/>
            <color indexed="81"/>
            <rFont val="Tahoma"/>
            <family val="2"/>
          </rPr>
          <t>mherreh:</t>
        </r>
        <r>
          <rPr>
            <sz val="8"/>
            <color indexed="81"/>
            <rFont val="Tahoma"/>
            <family val="2"/>
          </rPr>
          <t xml:space="preserve">
Implementar 10 funcionalidades para mejoras en las consultas del sistema.  </t>
        </r>
      </text>
    </comment>
    <comment ref="D29" authorId="3">
      <text>
        <r>
          <rPr>
            <b/>
            <sz val="9"/>
            <color indexed="81"/>
            <rFont val="Tahoma"/>
            <family val="2"/>
          </rPr>
          <t>Valor total del presupuesto para elproyecto.</t>
        </r>
        <r>
          <rPr>
            <sz val="9"/>
            <color indexed="81"/>
            <rFont val="Tahoma"/>
            <family val="2"/>
          </rPr>
          <t xml:space="preserve">
</t>
        </r>
      </text>
    </comment>
    <comment ref="F29" authorId="3">
      <text>
        <r>
          <rPr>
            <b/>
            <sz val="9"/>
            <color indexed="81"/>
            <rFont val="Tahoma"/>
            <family val="2"/>
          </rPr>
          <t>En proceso de contratación.</t>
        </r>
        <r>
          <rPr>
            <sz val="9"/>
            <color indexed="81"/>
            <rFont val="Tahoma"/>
            <family val="2"/>
          </rPr>
          <t xml:space="preserve">
</t>
        </r>
      </text>
    </comment>
    <comment ref="H29" authorId="3">
      <text>
        <r>
          <rPr>
            <b/>
            <sz val="9"/>
            <color indexed="81"/>
            <rFont val="Tahoma"/>
            <family val="2"/>
          </rPr>
          <t>Contrato a 3 años. Cubre un tiempo de soporte después de que el sistema producto del proyecto ya esté en producción.</t>
        </r>
      </text>
    </comment>
    <comment ref="K29" authorId="3">
      <text>
        <r>
          <rPr>
            <b/>
            <sz val="9"/>
            <color indexed="81"/>
            <rFont val="Tahoma"/>
            <family val="2"/>
          </rPr>
          <t>Porcentaje de esfuerzo del proyecto en el 2012</t>
        </r>
      </text>
    </comment>
    <comment ref="N29" authorId="3">
      <text>
        <r>
          <rPr>
            <b/>
            <sz val="9"/>
            <color indexed="81"/>
            <rFont val="Tahoma"/>
            <family val="2"/>
          </rPr>
          <t>Presupuestado para el proyecto en el 2012.</t>
        </r>
      </text>
    </comment>
  </commentList>
</comments>
</file>

<file path=xl/comments2.xml><?xml version="1.0" encoding="utf-8"?>
<comments xmlns="http://schemas.openxmlformats.org/spreadsheetml/2006/main">
  <authors>
    <author>atamayov</author>
    <author>jhenaoa</author>
    <author>nquintem</author>
  </authors>
  <commentList>
    <comment ref="D39" authorId="0">
      <text>
        <r>
          <rPr>
            <b/>
            <sz val="8"/>
            <color indexed="81"/>
            <rFont val="Tahoma"/>
            <family val="2"/>
          </rPr>
          <t>Cifras ejecutadas por año:</t>
        </r>
        <r>
          <rPr>
            <sz val="8"/>
            <color indexed="81"/>
            <rFont val="Tahoma"/>
            <family val="2"/>
          </rPr>
          <t xml:space="preserve">
</t>
        </r>
        <r>
          <rPr>
            <b/>
            <sz val="8"/>
            <color indexed="81"/>
            <rFont val="Tahoma"/>
            <family val="2"/>
          </rPr>
          <t>2008:</t>
        </r>
        <r>
          <rPr>
            <sz val="8"/>
            <color indexed="81"/>
            <rFont val="Tahoma"/>
            <family val="2"/>
          </rPr>
          <t xml:space="preserve"> Prueba de concepto por $28.403 miles.
</t>
        </r>
        <r>
          <rPr>
            <b/>
            <sz val="8"/>
            <color indexed="81"/>
            <rFont val="Tahoma"/>
            <family val="2"/>
          </rPr>
          <t>2009:</t>
        </r>
        <r>
          <rPr>
            <sz val="8"/>
            <color indexed="81"/>
            <rFont val="Tahoma"/>
            <family val="2"/>
          </rPr>
          <t xml:space="preserve"> Fase de Análisis y Planeación por $332.529 miles y capacitación introducción Hyperion por $7.068 miles
</t>
        </r>
        <r>
          <rPr>
            <b/>
            <sz val="8"/>
            <color indexed="81"/>
            <rFont val="Tahoma"/>
            <family val="2"/>
          </rPr>
          <t>2010:</t>
        </r>
        <r>
          <rPr>
            <sz val="8"/>
            <color indexed="81"/>
            <rFont val="Tahoma"/>
            <family val="2"/>
          </rPr>
          <t xml:space="preserve"> Consultoría por $673.565 miles, Licenciamiento, servidores, soporte técnico, capacitación y asimilación cambio por $645.281 miles
</t>
        </r>
        <r>
          <rPr>
            <b/>
            <sz val="8"/>
            <color indexed="81"/>
            <rFont val="Tahoma"/>
            <family val="2"/>
          </rPr>
          <t>2011:</t>
        </r>
        <r>
          <rPr>
            <sz val="8"/>
            <color indexed="81"/>
            <rFont val="Tahoma"/>
            <family val="2"/>
          </rPr>
          <t xml:space="preserve"> Consultoría por $1.313.341 miles, Licenciamiento, servidores, soporte técnico, capacitación y asimilación cambio por $379.907 miles
</t>
        </r>
        <r>
          <rPr>
            <b/>
            <sz val="8"/>
            <color indexed="81"/>
            <rFont val="Tahoma"/>
            <family val="2"/>
          </rPr>
          <t>2012 (Presupuesto):</t>
        </r>
        <r>
          <rPr>
            <sz val="8"/>
            <color indexed="81"/>
            <rFont val="Tahoma"/>
            <family val="2"/>
          </rPr>
          <t xml:space="preserve"> Consultoría por $1.087.624 miles, Licenciamiento, servidores, soporte técnico, capacitación y asimilación cambio y otros por $640.376 miles</t>
        </r>
      </text>
    </comment>
    <comment ref="D41" authorId="1">
      <text>
        <r>
          <rPr>
            <b/>
            <sz val="8"/>
            <color indexed="81"/>
            <rFont val="Tahoma"/>
            <family val="2"/>
          </rPr>
          <t>jhenaoa:</t>
        </r>
        <r>
          <rPr>
            <sz val="8"/>
            <color indexed="81"/>
            <rFont val="Tahoma"/>
            <family val="2"/>
          </rPr>
          <t xml:space="preserve">
2010  $42
2011  $487
2012  $1.436
2012  $62</t>
        </r>
      </text>
    </comment>
    <comment ref="O41" authorId="2">
      <text/>
    </comment>
    <comment ref="D45" authorId="1">
      <text>
        <r>
          <rPr>
            <b/>
            <sz val="8"/>
            <color indexed="81"/>
            <rFont val="Tahoma"/>
            <family val="2"/>
          </rPr>
          <t>jhenaoa:</t>
        </r>
        <r>
          <rPr>
            <sz val="8"/>
            <color indexed="81"/>
            <rFont val="Tahoma"/>
            <family val="2"/>
          </rPr>
          <t xml:space="preserve">
2010  $330
2011  $1.126
2012  $2.477
2012  $1.116</t>
        </r>
      </text>
    </comment>
  </commentList>
</comments>
</file>

<file path=xl/comments3.xml><?xml version="1.0" encoding="utf-8"?>
<comments xmlns="http://schemas.openxmlformats.org/spreadsheetml/2006/main">
  <authors>
    <author>cmesam</author>
  </authors>
  <commentList>
    <comment ref="B5" authorId="0">
      <text>
        <r>
          <rPr>
            <sz val="8"/>
            <color indexed="81"/>
            <rFont val="Tahoma"/>
            <family val="2"/>
          </rPr>
          <t>Descripción del proyecto o iniciativa enunciada, validada e incluída en el foro de directivos.</t>
        </r>
      </text>
    </comment>
    <comment ref="C5" authorId="0">
      <text>
        <r>
          <rPr>
            <sz val="8"/>
            <color indexed="81"/>
            <rFont val="Tahoma"/>
            <family val="2"/>
          </rPr>
          <t xml:space="preserve">Correspondencia a proyecto de corto, mediano o largo plazo
</t>
        </r>
      </text>
    </comment>
    <comment ref="E5" authorId="0">
      <text>
        <r>
          <rPr>
            <sz val="8"/>
            <color indexed="81"/>
            <rFont val="Tahoma"/>
            <family val="2"/>
          </rPr>
          <t xml:space="preserve">Se refiere a la lista de contratos (objetos de los contratos), a través de los cuales se va a ejecutar el proyecto
</t>
        </r>
      </text>
    </comment>
    <comment ref="F5" authorId="0">
      <text>
        <r>
          <rPr>
            <sz val="8"/>
            <color indexed="81"/>
            <rFont val="Tahoma"/>
            <family val="2"/>
          </rPr>
          <t>Si el contrato ya existe, se realaciona el número asignado por el sistema NEON.</t>
        </r>
      </text>
    </comment>
    <comment ref="I5" authorId="0">
      <text>
        <r>
          <rPr>
            <sz val="8"/>
            <color indexed="81"/>
            <rFont val="Tahoma"/>
            <family val="2"/>
          </rPr>
          <t>Informe el número del Centro de Actividad Responsable de la Ejecución del contrato</t>
        </r>
      </text>
    </comment>
    <comment ref="J5" authorId="0">
      <text>
        <r>
          <rPr>
            <sz val="8"/>
            <color indexed="81"/>
            <rFont val="Tahoma"/>
            <family val="2"/>
          </rPr>
          <t>Unidad de medida a través de la cual se le hará seguimiento al contrato</t>
        </r>
      </text>
    </comment>
  </commentList>
</comments>
</file>

<file path=xl/comments4.xml><?xml version="1.0" encoding="utf-8"?>
<comments xmlns="http://schemas.openxmlformats.org/spreadsheetml/2006/main">
  <authors>
    <author>cmesam</author>
  </authors>
  <commentList>
    <comment ref="B5" authorId="0">
      <text>
        <r>
          <rPr>
            <sz val="8"/>
            <color indexed="81"/>
            <rFont val="Tahoma"/>
            <family val="2"/>
          </rPr>
          <t>Descripción del proyecto o iniciativa enunciada, validada e incluída en el foro de directivos.</t>
        </r>
      </text>
    </comment>
    <comment ref="C5" authorId="0">
      <text>
        <r>
          <rPr>
            <sz val="8"/>
            <color indexed="81"/>
            <rFont val="Tahoma"/>
            <family val="2"/>
          </rPr>
          <t xml:space="preserve">Correspondencia a proyecto de corto, mediano o largo plazo
</t>
        </r>
      </text>
    </comment>
    <comment ref="E5" authorId="0">
      <text>
        <r>
          <rPr>
            <sz val="8"/>
            <color indexed="81"/>
            <rFont val="Tahoma"/>
            <family val="2"/>
          </rPr>
          <t xml:space="preserve">Se refiere a la lista de contratos (objetos de los contratos), a través de los cuales se va a ejecutar el proyecto
</t>
        </r>
      </text>
    </comment>
    <comment ref="F5" authorId="0">
      <text>
        <r>
          <rPr>
            <sz val="8"/>
            <color indexed="81"/>
            <rFont val="Tahoma"/>
            <family val="2"/>
          </rPr>
          <t>Si el contrato ya existe, se realaciona el número asignado por el sistema NEON.</t>
        </r>
      </text>
    </comment>
    <comment ref="I5" authorId="0">
      <text>
        <r>
          <rPr>
            <sz val="8"/>
            <color indexed="81"/>
            <rFont val="Tahoma"/>
            <family val="2"/>
          </rPr>
          <t>Informe el número del Centro de Actividad Responsable de la Ejecución del contrato</t>
        </r>
      </text>
    </comment>
    <comment ref="J5" authorId="0">
      <text>
        <r>
          <rPr>
            <sz val="8"/>
            <color indexed="81"/>
            <rFont val="Tahoma"/>
            <family val="2"/>
          </rPr>
          <t>Unidad de medida a través de la cual se le hará seguimiento al contrato</t>
        </r>
      </text>
    </comment>
  </commentList>
</comments>
</file>

<file path=xl/comments5.xml><?xml version="1.0" encoding="utf-8"?>
<comments xmlns="http://schemas.openxmlformats.org/spreadsheetml/2006/main">
  <authors>
    <author>WILSON REYNEL BUILES TOBON</author>
  </authors>
  <commentList>
    <comment ref="K7" authorId="0">
      <text>
        <r>
          <rPr>
            <b/>
            <sz val="9"/>
            <color indexed="81"/>
            <rFont val="Tahoma"/>
            <family val="2"/>
          </rPr>
          <t xml:space="preserve">Entregables 2012:
</t>
        </r>
        <r>
          <rPr>
            <sz val="9"/>
            <color indexed="81"/>
            <rFont val="Tahoma"/>
            <family val="2"/>
          </rPr>
          <t xml:space="preserve">* Capacitación a los administradores funcionales de EPM y Filiales
* Revision de indicadores implantados en fase II
* Revision de indicadores implantados en fase II
* Informes de Solicitudes de soporte realizadas  
</t>
        </r>
      </text>
    </comment>
    <comment ref="K8" authorId="0">
      <text>
        <r>
          <rPr>
            <b/>
            <sz val="9"/>
            <color indexed="81"/>
            <rFont val="Tahoma"/>
            <family val="2"/>
          </rPr>
          <t xml:space="preserve">Entregables 2012:
</t>
        </r>
        <r>
          <rPr>
            <sz val="9"/>
            <color indexed="81"/>
            <rFont val="Tahoma"/>
            <family val="2"/>
          </rPr>
          <t xml:space="preserve">*Realizar análisis y soporte de los 11 indicadores de fase I implantados en la herramienta
*Formular los 9 indicadores de Fase II
*Definir estrategia de automatización de fuentes de indicadores de Fase II.
</t>
        </r>
      </text>
    </comment>
  </commentList>
</comments>
</file>

<file path=xl/comments6.xml><?xml version="1.0" encoding="utf-8"?>
<comments xmlns="http://schemas.openxmlformats.org/spreadsheetml/2006/main">
  <authors>
    <author>cmesam</author>
  </authors>
  <commentList>
    <comment ref="B5" authorId="0">
      <text>
        <r>
          <rPr>
            <sz val="8"/>
            <color indexed="81"/>
            <rFont val="Tahoma"/>
            <family val="2"/>
          </rPr>
          <t>Descripción del proyecto o iniciativa enunciada, validada e incluída en el foro de directivos.</t>
        </r>
      </text>
    </comment>
    <comment ref="C5" authorId="0">
      <text>
        <r>
          <rPr>
            <sz val="8"/>
            <color indexed="81"/>
            <rFont val="Tahoma"/>
            <family val="2"/>
          </rPr>
          <t xml:space="preserve">Correspondencia a proyecto de corto, mediano o largo plazo
</t>
        </r>
      </text>
    </comment>
    <comment ref="E5" authorId="0">
      <text>
        <r>
          <rPr>
            <sz val="8"/>
            <color indexed="81"/>
            <rFont val="Tahoma"/>
            <family val="2"/>
          </rPr>
          <t xml:space="preserve">Se refiere a la lista de contratos (objetos de los contratos), a través de los cuales se va a ejecutar el proyecto
</t>
        </r>
      </text>
    </comment>
    <comment ref="F5" authorId="0">
      <text>
        <r>
          <rPr>
            <sz val="8"/>
            <color indexed="81"/>
            <rFont val="Tahoma"/>
            <family val="2"/>
          </rPr>
          <t>Si el contrato ya existe, se realaciona el número asignado por el sistema NEON.</t>
        </r>
      </text>
    </comment>
    <comment ref="I5" authorId="0">
      <text>
        <r>
          <rPr>
            <sz val="8"/>
            <color indexed="81"/>
            <rFont val="Tahoma"/>
            <family val="2"/>
          </rPr>
          <t>Informe el número del Centro de Actividad Responsable de la Ejecución del contrato</t>
        </r>
      </text>
    </comment>
    <comment ref="J5" authorId="0">
      <text>
        <r>
          <rPr>
            <sz val="8"/>
            <color indexed="81"/>
            <rFont val="Tahoma"/>
            <family val="2"/>
          </rPr>
          <t>Unidad de medida a través de la cual se le hará seguimiento al contrato</t>
        </r>
      </text>
    </comment>
  </commentList>
</comments>
</file>

<file path=xl/comments7.xml><?xml version="1.0" encoding="utf-8"?>
<comments xmlns="http://schemas.openxmlformats.org/spreadsheetml/2006/main">
  <authors>
    <author>agomezfr</author>
    <author>Josejara</author>
  </authors>
  <commentList>
    <comment ref="M128" authorId="0">
      <text>
        <r>
          <rPr>
            <b/>
            <sz val="8"/>
            <color indexed="81"/>
            <rFont val="Tahoma"/>
            <family val="2"/>
          </rPr>
          <t>agomezfr:</t>
        </r>
        <r>
          <rPr>
            <sz val="8"/>
            <color indexed="81"/>
            <rFont val="Tahoma"/>
            <family val="2"/>
          </rPr>
          <t xml:space="preserve">
Premios Promocionales</t>
        </r>
      </text>
    </comment>
    <comment ref="M129" authorId="0">
      <text>
        <r>
          <rPr>
            <b/>
            <sz val="8"/>
            <color indexed="81"/>
            <rFont val="Tahoma"/>
            <family val="2"/>
          </rPr>
          <t>agomezfr:</t>
        </r>
        <r>
          <rPr>
            <sz val="8"/>
            <color indexed="81"/>
            <rFont val="Tahoma"/>
            <family val="2"/>
          </rPr>
          <t xml:space="preserve">
Premios Prom</t>
        </r>
      </text>
    </comment>
    <comment ref="M134" authorId="0">
      <text>
        <r>
          <rPr>
            <b/>
            <sz val="8"/>
            <color indexed="81"/>
            <rFont val="Tahoma"/>
            <family val="2"/>
          </rPr>
          <t>agomezfr:</t>
        </r>
        <r>
          <rPr>
            <sz val="8"/>
            <color indexed="81"/>
            <rFont val="Tahoma"/>
            <family val="2"/>
          </rPr>
          <t xml:space="preserve">
Premios Promocionales</t>
        </r>
      </text>
    </comment>
    <comment ref="C171" authorId="1">
      <text>
        <r>
          <rPr>
            <b/>
            <sz val="8"/>
            <color indexed="81"/>
            <rFont val="Tahoma"/>
            <charset val="1"/>
          </rPr>
          <t>Josejara:</t>
        </r>
        <r>
          <rPr>
            <sz val="8"/>
            <color indexed="81"/>
            <rFont val="Tahoma"/>
            <charset val="1"/>
          </rPr>
          <t xml:space="preserve">
Incluye IVA</t>
        </r>
      </text>
    </comment>
  </commentList>
</comments>
</file>

<file path=xl/comments8.xml><?xml version="1.0" encoding="utf-8"?>
<comments xmlns="http://schemas.openxmlformats.org/spreadsheetml/2006/main">
  <authors>
    <author>mfrancoc</author>
  </authors>
  <commentList>
    <comment ref="K21" authorId="0">
      <text>
        <r>
          <rPr>
            <b/>
            <sz val="10"/>
            <color indexed="81"/>
            <rFont val="Tahoma"/>
            <family val="2"/>
          </rPr>
          <t>mfrancoc:</t>
        </r>
        <r>
          <rPr>
            <sz val="10"/>
            <color indexed="81"/>
            <rFont val="Tahoma"/>
            <family val="2"/>
          </rPr>
          <t xml:space="preserve">
Inlcuye 100000 cambios de medidores del proyecto ANC</t>
        </r>
      </text>
    </comment>
    <comment ref="N25" authorId="0">
      <text>
        <r>
          <rPr>
            <b/>
            <sz val="10"/>
            <color indexed="81"/>
            <rFont val="Tahoma"/>
            <family val="2"/>
          </rPr>
          <t>mfrancoc:</t>
        </r>
        <r>
          <rPr>
            <sz val="10"/>
            <color indexed="81"/>
            <rFont val="Tahoma"/>
            <family val="2"/>
          </rPr>
          <t xml:space="preserve">
No incluí 1000 millones de abastecimiento de inventarios de la subgerencia</t>
        </r>
      </text>
    </comment>
  </commentList>
</comments>
</file>

<file path=xl/sharedStrings.xml><?xml version="1.0" encoding="utf-8"?>
<sst xmlns="http://schemas.openxmlformats.org/spreadsheetml/2006/main" count="3567" uniqueCount="1206">
  <si>
    <t xml:space="preserve">EMPRESAS PÚBLICAS DE MEDELLÍN E.S.P. </t>
  </si>
  <si>
    <t>N°</t>
  </si>
  <si>
    <t>PROYECTO / INICIATIVA</t>
  </si>
  <si>
    <t>CLASE DE PROYECTO / INICIATIVA</t>
  </si>
  <si>
    <t>ACTIVIDADES PLANEADAS
(Objeto del Contrato)</t>
  </si>
  <si>
    <t>No. CONTRATO
(En caso que exista)</t>
  </si>
  <si>
    <t>C.A. RESPONSABLE DE LA EJECUCIÓN DEL CONTRATO</t>
  </si>
  <si>
    <t>UNIDAD</t>
  </si>
  <si>
    <t>META FISICA</t>
  </si>
  <si>
    <t>CIFRAS EN MILLONES DE PESOS</t>
  </si>
  <si>
    <t>PROGRAMADA PARA EL AÑO</t>
  </si>
  <si>
    <t>% Cumpl</t>
  </si>
  <si>
    <t>PRESUPUESTO PARA EL AÑO</t>
  </si>
  <si>
    <t>% Ejecución</t>
  </si>
  <si>
    <t>Corto plazo</t>
  </si>
  <si>
    <t>Mediano plazo</t>
  </si>
  <si>
    <t>Fecha de inicio</t>
  </si>
  <si>
    <t>Tiempo de ejecución del contrato</t>
  </si>
  <si>
    <t>Fecha Final</t>
  </si>
  <si>
    <t>VALOR TOTAL DEL PROYECTO</t>
  </si>
  <si>
    <t xml:space="preserve">% de avance del proyecto. </t>
  </si>
  <si>
    <t>DIRECCION RESPONSABILIDAD EMPRESARIAL</t>
  </si>
  <si>
    <t>IGAE: Determinar el Índice de Gestión Ambiental Empresarial del Cuadro de Mando Integral del Grupo EPM y elaborar informe de resultados para cada uno de los objetos valorados, a partir de la metodología definida para tal fin por Empresas Públicas de Medellín E.S.P.</t>
  </si>
  <si>
    <t xml:space="preserve">CT-2011-000064 </t>
  </si>
  <si>
    <t>EJECUTADA A DICIEMBRE DE 2012</t>
  </si>
  <si>
    <t>PLAN DE ACCIÓN 2012</t>
  </si>
  <si>
    <t xml:space="preserve">Largo Plazo </t>
  </si>
  <si>
    <t xml:space="preserve">No se tiene contratos a la fecha asociados a esta iniciativa </t>
  </si>
  <si>
    <t xml:space="preserve">%  Avance plan  de acción </t>
  </si>
  <si>
    <t>Servicios de consultoría para la identificación, análisis, evaluación y definición de plan de tratamiento para los riesgos organizacionales en DDHH de Empresas Públicas de Medellín E.S.P, en el relacionamiento con sus grupos de interés</t>
  </si>
  <si>
    <t>CT2011-000786</t>
  </si>
  <si>
    <t>22-08-2011</t>
  </si>
  <si>
    <t>07-2-2012</t>
  </si>
  <si>
    <t>PENDIENTE .Alianza para el fortalecimiento y desarrollo de proveedores mediante la formación a linieros para trabajos en redes de distribución energía, en desarrollo del programa RECYPROCO</t>
  </si>
  <si>
    <t>2012-000214</t>
  </si>
  <si>
    <t>15-02-2012</t>
  </si>
  <si>
    <t>Verificación informe de sostenibilidad 2011</t>
  </si>
  <si>
    <t>Informe</t>
  </si>
  <si>
    <t>Fundación Secretos para contar</t>
  </si>
  <si>
    <t>Corto Plazo</t>
  </si>
  <si>
    <t>Vinculación de Empresas Públicas de Medellín al programa de Educación para el Trabajo y Desarrollo Humano, mediante la compra y entrega personalizada de libros de ciencia, de la quinta trilogía de la serie Secretos para Contar</t>
  </si>
  <si>
    <t>Pendiente</t>
  </si>
  <si>
    <t>Colecciones</t>
  </si>
  <si>
    <t xml:space="preserve">Puentes Peatonales </t>
  </si>
  <si>
    <t>Mediano Plazo</t>
  </si>
  <si>
    <t>Alquiler de 3 puentes peatonales para el cruce de las vias distribuidora y regional carrera 63 en el tramo comprendido entre las calles 30 y 44 u otros sitios requeridos por EPM.</t>
  </si>
  <si>
    <t>CT-2011-001077</t>
  </si>
  <si>
    <t>Puentes</t>
  </si>
  <si>
    <t>Fundación EPM aportes</t>
  </si>
  <si>
    <t>Se destinarán $4.000 millones , como aportes a la Fundación EPM para la ejecución de sus programas.  Estos aportes son aprobados por la Junta Directiva</t>
  </si>
  <si>
    <t>N.A</t>
  </si>
  <si>
    <t>Fundación EPM - Programa Fondo Superior para la educación regional</t>
  </si>
  <si>
    <t>LA FUNDACIÓN EPM, en nombre de Empresas Públicas de Medellín, ejecutará el Programa de Créditos Educativos Condonables, con el cual se busca beneficiar a doscientos sesenta y cinco (265) jóvenes de las zonas de influencia de LAS EMPRESAS, exceptuando a Medellín, a través del otorgamiento de créditos para la realización de estudios de educación superior, técnica, tecnológica y profesional, de acuerdo con los lineamientos acordados por las dos partes</t>
  </si>
  <si>
    <t>CT-2009-0219</t>
  </si>
  <si>
    <t>Estudiantes beneficiados</t>
  </si>
  <si>
    <t>Acciones para mejorar la accesibilidad a los servicios públicos</t>
  </si>
  <si>
    <t>La EDU ejecutará para EPM actividades técnicas, sociales y ambientales orientadas a la mitigación del riesgo asociado al uso irregualr de los servicios públicos domiciliarios en asentamiento de economía precaria y en lavaderos informales de vehículos automotores, identificados por EPM en el marco del programa de universalización de los servicios domiciliarios en Medellín y los demás municipios del Valle de Aburrá.</t>
  </si>
  <si>
    <t>CT-2011-000312</t>
  </si>
  <si>
    <t>Viviendas inervenidas</t>
  </si>
  <si>
    <t>Fijar las condiciones económicas, técnicas y jurídicas dentro de las cuales el Museo presentará su programa “Museo Itinerante” en 27 municipios del Departamento de Antioquia señalados por LAS EMPRESAS con el fin de hacer divulgación de la imagen institucional de éstas</t>
  </si>
  <si>
    <t>9200436144-R2</t>
  </si>
  <si>
    <t>Itinerancias</t>
  </si>
  <si>
    <t>Gestión de recursos de cooperación</t>
  </si>
  <si>
    <t>Para Gestionar recursos de cooperación internacional (técnicos y financieros) para los proyectos de la agenda de cooperación de Empresas Públicas de Medellín y apoyar en la promoción internacional del Grupo Empresarial EPM.</t>
  </si>
  <si>
    <t>febrero</t>
  </si>
  <si>
    <t>Plan de trabajo</t>
  </si>
  <si>
    <t xml:space="preserve">Estudio de Propuesta de Normatividad Sector Eléctrico para la Exportación de Electricidad </t>
  </si>
  <si>
    <t>Analizar los desafíos y oportunidades del régimen cambiario para el sector de energía, caracterizando los principales obstáculos, para formular así recomendaciones que permitan formular propuestas normativas coherentes con la política de promoción de exportaciones de energía en Colombia.</t>
  </si>
  <si>
    <t>Estudio</t>
  </si>
  <si>
    <t>Consultoría para el acompañamiento en la implementación del Modelo de Gobierno Corporativo del Grupo EPM</t>
  </si>
  <si>
    <t>Acompañamiento especializado a la implementación del Modelo de Gobierno Corporativo, en asuntos:
* Legales
* Financieros
* Relación con accionistas
* Administración de juntas directivas en grupos empresariales
* Control y auditoría para grupos empresariales</t>
  </si>
  <si>
    <t>Capacitación especializada en temas de gobierno corporativo para cuerpo directivo del Grupo EPM y el grupo de interés Dueño</t>
  </si>
  <si>
    <t>Capacitación en temas de gobierno corporativo a:
* Junta directiva de EPM
* Juntas directivas de las empresas del Grupo EPM
* Cuerpo directivo Grupo EPM
* Voceros del Grupo Interés Dueño</t>
  </si>
  <si>
    <t>Evaluación de la percepción, imagen, reputación, entre otros, de EPM y su grupo de empresas</t>
  </si>
  <si>
    <t>PLC 2012-000828</t>
  </si>
  <si>
    <t>Servicio Prestado</t>
  </si>
  <si>
    <t>Estudio de satisfacción y RSE  EPM y filiales del grupo.</t>
  </si>
  <si>
    <t>PLC 2012-000952</t>
  </si>
  <si>
    <t>Servicios de Asesoría, Administración y Gestión de marcas y demás bienes protegidos por la propiedad industrial, el derecho de autor, los derechos conexos, y en general por la Propiedad Intelectual, así como servicios complementarios de valoración de crea</t>
  </si>
  <si>
    <t>CT-2009-0305-R1</t>
  </si>
  <si>
    <t>Prestación de servicios relacionados con toda la logística: Montaje, supervisión, desmontaje, bodegaje, mantenimiento, vigilancia, transporte y suministro de helio, para puesta en funcionamiento de globos de helio suministrados por EPM, en eventos program</t>
  </si>
  <si>
    <t>CT-2010-0782-R1</t>
  </si>
  <si>
    <t>Estudios de Satisfacción EPM y algunas filiales de aguas, Reputación  e imagen y RSE</t>
  </si>
  <si>
    <t>CT-2010-1114</t>
  </si>
  <si>
    <t>Vinculación publicitaria de EPM con la Corporación Parque Explora, asociada al patrocinio del Acuario del Parque Explora</t>
  </si>
  <si>
    <t>CT-2010-1310</t>
  </si>
  <si>
    <t>Prestación de los servicios de diseño de conceptos creativos, asistencia en el desarrollo de estrategias y tácticas en campañas publicitarias y campañas de comunicación comercial ATL, BTL y digitales para la difusión y promoción del portafolio de productos y servicios de las Empresas Públicas de Medellín E.S.P.</t>
  </si>
  <si>
    <t>CT-2011-000198</t>
  </si>
  <si>
    <t>Vinculación Publicitaria en la campaña de sensibilización de la ética a través de medios de comunicación, la exhibicion de la ética mundial en Medellín y la creación del punto com</t>
  </si>
  <si>
    <t>CT-2011-000305</t>
  </si>
  <si>
    <t>Convenio interadministrativo para vinculación publicitaria con exhibición de marca en la pantalla de agua del Parque Bicentenario</t>
  </si>
  <si>
    <t>CT-2011-000598</t>
  </si>
  <si>
    <t>CT-2011-000873</t>
  </si>
  <si>
    <t>Vinculación publicitaria al  Festival de Música de Cartagena de Indias 2012.</t>
  </si>
  <si>
    <t>CT-2011-000923</t>
  </si>
  <si>
    <t xml:space="preserve">Vinculación Publicitaria en la exposición de Beatriz González _x000D_
</t>
  </si>
  <si>
    <t>CT-2011-001028</t>
  </si>
  <si>
    <t>Vinculación publicitaria con el proyecto Verde Esperanza</t>
  </si>
  <si>
    <t>CT-2011-001055</t>
  </si>
  <si>
    <t xml:space="preserve">Vinculación publicitaria con él Hay Festival que se va a realizar en Cartagena de Indias </t>
  </si>
  <si>
    <t>CT-2011-001215</t>
  </si>
  <si>
    <t>Vinculación publicitaria Equipo de Ciclismo EPM UNE</t>
  </si>
  <si>
    <t>CT-2011-001315</t>
  </si>
  <si>
    <t>Vinculación publicitaria con el día del fútbol antioqueño.</t>
  </si>
  <si>
    <t>CT-2012-000030</t>
  </si>
  <si>
    <t>Vinculación publicitariamente con el proyecto Escuela de integración Social y deportiva Real Madrid Urabá.</t>
  </si>
  <si>
    <t>CT-2012-000033</t>
  </si>
  <si>
    <t>Vinculación publicitaria con la  Liga de tenis de campo.</t>
  </si>
  <si>
    <t>CT-2012-000034</t>
  </si>
  <si>
    <t>Vinculación publicitaria con los eventos de Medicáncer</t>
  </si>
  <si>
    <t>CT-2012-000035</t>
  </si>
  <si>
    <t>Prestación de servicios de Agencias BTL para el diseño de estrategias, planeación, organización y desarrollo de actividades BTL y/o eventos. Incluye la operación logística, la ejecución de servicios y/o productos que se requieran para todo tipo de eventos</t>
  </si>
  <si>
    <t>CT-9200-434849-R2</t>
  </si>
  <si>
    <t>CT-9200-434850-R2</t>
  </si>
  <si>
    <t>CT-9200-434881-R2</t>
  </si>
  <si>
    <t>Prestación de servicios de operador logístico para implementación, producción, montaje, desmontaje y logística de eventos, dirigidos a clientes actuales y potenciales, y demás grupos de interés de EPM</t>
  </si>
  <si>
    <t>PC-2012-000042</t>
  </si>
  <si>
    <t>Prestacion de servicios de soluciones digitales y productos multimediales</t>
  </si>
  <si>
    <t>PC-2012-000010</t>
  </si>
  <si>
    <t>Prestación de servicios de diseño gráfico, editorial y digital para EPM y Grupo EPM.</t>
  </si>
  <si>
    <t>PC-2011-008971</t>
  </si>
  <si>
    <t>La prestación de servicios de investigación de mercados cualitativa y cuantitativa,  relacionadas con medición, identificación, conocimiento de la efectividad de las actividades de comunicación;  medición de posicionamiento de marca, evaluación de las actitudes, conductas y relacionamiento con los grupos de interés, así como aspectos relacionados con los servicios de comercialización para EPM y las empresas del Grupo EPM.</t>
  </si>
  <si>
    <t>PC-2011-005691</t>
  </si>
  <si>
    <t>Prestación de servicios de almacenaje y administración de material publicitario de EPM.</t>
  </si>
  <si>
    <t>PC-2011-004771</t>
  </si>
  <si>
    <t>Prestación de servicios para la valoración financiera de la marca EPM en Colombia</t>
  </si>
  <si>
    <t>EP-2011-002331</t>
  </si>
  <si>
    <t>Vinculaciones publicitarias de EPM a eventos de terceros dentro del marco de la política de RSE, las directrices sobre el manejo de la imagen institucional y la optimización de los recursos de la organización versus la visibilidad de marca, bajo un marco de actuación sobre la imagen institucional y la optimización de los recursos de la organización.</t>
  </si>
  <si>
    <t>ND</t>
  </si>
  <si>
    <t>Plan de 
trabajo</t>
  </si>
  <si>
    <t xml:space="preserve">Proyecto Direccionamiento Ambiental Estratégico (2008-2012):
Desempeño Ambiental: IGAE
Sensibilización y comunicaciones:  campañas ambientales, eventos, encuentro ambiental </t>
  </si>
  <si>
    <t xml:space="preserve">Plan de gestión de marca, Imagen y reputación corporativa para EPM y Grupo
- Gestionar la marca, imagen y reputación.
- Elaborar las estrategias de comunicación comercial e institucional para contribuir al incremento de valor de marca y lograr el posicionamiento deseado para EPM.
Contribuir al reconocimiento del grupo EPM a partir de estrategias de comunicación institucional para el grupo EPM y articular a todas la filiales para que su comunicación este alineada con las directrices y el posicionamiento definido para el Grupo EPM..
- Gestionar los riesgos de marca y reputación </t>
  </si>
  <si>
    <t>Incorporar la RSE en los comportamientos empresariales del Grupo EPM.(Incorporar comportamientos empresariales socialmente responsables en todos los procesos de las empresas del Grupo EPM, con unidad de criterio a partir del Mapa Estratégico de Grupo y de la  Política de RSE según los retos de sostenibilidad propios de cada empresa)</t>
  </si>
  <si>
    <t>Asimilación RSE.(busca lograr aprendizaje organizacional de RSE como una manera de agregar y proteger valor para la organización a través de un adecuado entendimiento y práctica del modelo que posibilite una correcta aplicación de  los esfuerzos y recursos enfocado en RSE).</t>
  </si>
  <si>
    <t>Modelo de Relacionamiento con Grupos de Interés.(El entendimiento de la gestión empresarial en EPM busca el equilibrio entre la orientación a los resultados empresariales –el logro de la MEGA- y la orientación a las relaciones con los grupos de interés, como condición para lograr legitimidad y facilitar el cumplimiento de los objetivos empresariales)</t>
  </si>
  <si>
    <t>Gestión Institucional en Derechos Humanos .(Es construir un marco de actuación que dé cuenta del compromiso empresarial de respeto por los derechos humanos con dos componentes fundamentales: por una parte, abstenerse de cometer conductas que constituyan violaciones a los DDHH y, por otra la debida diligencia en la adopción de medidas empresariales encaminadas a prevenir, mitigar y reparar los efectos negativos de la operación en los derechos humanos).</t>
  </si>
  <si>
    <t xml:space="preserve">Gestión de entorno sociopolítico.(busca a partir de la identificación de variables específicas en zonas en las que EPM tiene presencia, movilizar  la actuación colectiva de las diferentes áreas de la organización involucradas.
</t>
  </si>
  <si>
    <t>Relacionamiento con el GI Proveedores y Contratistas (RECYPROCO).Programa para la gestión y relacionamiento con proveedores y contratistas que busca alcanzar la competitividad y desarrollo de este GI y que contendrá, además de las acciones definidas dentro del plan de relacionamiento establecido en el marco del Modelo de Relaciones con Grupos de Interés.</t>
  </si>
  <si>
    <t>Museo de Antioquia - 
Exposiciones itinerantes</t>
  </si>
  <si>
    <t>N.D.</t>
  </si>
  <si>
    <t>Abril
(estimado)</t>
  </si>
  <si>
    <t>septimbre
 (estimado)</t>
  </si>
  <si>
    <t>julio 
(estimado)</t>
  </si>
  <si>
    <t>julio 2013 
(estimado)</t>
  </si>
  <si>
    <t>diciembre 
(estimado)</t>
  </si>
  <si>
    <t>01/01/2012</t>
  </si>
  <si>
    <t>31/12/2012</t>
  </si>
  <si>
    <t>N.D</t>
  </si>
  <si>
    <t>15/12/2012</t>
  </si>
  <si>
    <t xml:space="preserve">Prestación de servicios de traducción de documentos y traducción simultánea en los idiomas de inglés, portugués y español, para las diferentes áreas de EPM_x000D_
_x000D_
_x000D_
</t>
  </si>
  <si>
    <t>marzo/2012
(Estimado)</t>
  </si>
  <si>
    <t>agosto/2014
(Estimado)</t>
  </si>
  <si>
    <t>junio/2012
(Estimado)</t>
  </si>
  <si>
    <t>mayo/2013
(Estimado)</t>
  </si>
  <si>
    <t>abril/2012
(Estimado)</t>
  </si>
  <si>
    <t>set./2014
(Estimado)</t>
  </si>
  <si>
    <t xml:space="preserve"> marzo/2012
(Estimado)</t>
  </si>
  <si>
    <t xml:space="preserve"> Febrero/2012
(Estimado)</t>
  </si>
  <si>
    <t>Enero/2013
(Estimado)</t>
  </si>
  <si>
    <t xml:space="preserve"> julio/2012
(Estimado)</t>
  </si>
  <si>
    <t>Largo plazo</t>
  </si>
  <si>
    <t>Observación</t>
  </si>
  <si>
    <t>Proyecto CMI Grupo EPM – en Linea</t>
  </si>
  <si>
    <t>Soporte capacitación, actualización, mantenimiento, soporte funcional, soporte técnico y desarrollos adicionales que se requieran.</t>
  </si>
  <si>
    <t>CT-2011-000045</t>
  </si>
  <si>
    <t>Marzo 8 de 2012</t>
  </si>
  <si>
    <t>Marzo 8 de 2013</t>
  </si>
  <si>
    <t>Entregables definidos en el cronograma de trabajo</t>
  </si>
  <si>
    <t>144.000.000</t>
  </si>
  <si>
    <t>En el valor total del proyecto se adiciona el costo de soporte a traves de intergrupo en 2012 por valor de  $204.160.000 ; el cual no incluido en el presupuesto inicial del proyecto</t>
  </si>
  <si>
    <t>Prestación de servicios para apoyar el proceso de Desarrollo del Servicio de Tecnología de Información –TI- basado en prácticas CMMI (Ingeniería de Requisitos, Análisis de la Solución y Diseño y Construcción,  con su correspondiente aseguramiento y control de calidad) en LAS EMPRESAS.</t>
  </si>
  <si>
    <t> CT-2011-000102 - ACTAS DE TRABAJO 1-1-0100,  1-1-0122</t>
  </si>
  <si>
    <t> Diciembre de  2011</t>
  </si>
  <si>
    <t> Diciembre de 2012</t>
  </si>
  <si>
    <t> Entregables definidos según actas de trabajo realizadas</t>
  </si>
  <si>
    <t>204.160.000</t>
  </si>
  <si>
    <t>UNIDAD DE COMUNICACIONES</t>
  </si>
  <si>
    <t>EJECUTADA A DICIEMBRE DE 2011</t>
  </si>
  <si>
    <t>Digitalización memoria audiovisual EPM</t>
  </si>
  <si>
    <t>Prestación del servicio de digitalización del archivo fotográfico de EPM.</t>
  </si>
  <si>
    <t>CT-2011-001244</t>
  </si>
  <si>
    <t>12 de diciembre de 2011</t>
  </si>
  <si>
    <t>12 de diciembre de 2012</t>
  </si>
  <si>
    <t>Fotografías Digitalizadas</t>
  </si>
  <si>
    <t>20000 fotografías</t>
  </si>
  <si>
    <t>Canal Digital "mi canal"</t>
  </si>
  <si>
    <t>Producir y emitir contenidos a través de Mi Canal</t>
  </si>
  <si>
    <t>Acta de ejecución 0930 - 050</t>
  </si>
  <si>
    <t>1° de mayo del 2011</t>
  </si>
  <si>
    <t xml:space="preserve">1° de mayo del 2014 </t>
  </si>
  <si>
    <t>Parrillas de programación</t>
  </si>
  <si>
    <t>17 parrillas producidas y emitidas</t>
  </si>
  <si>
    <t>solución informática adquiridad e implementada</t>
  </si>
  <si>
    <t>1 año</t>
  </si>
  <si>
    <t>Solución informática</t>
  </si>
  <si>
    <t>Depende de  la contratación</t>
  </si>
  <si>
    <t>Por definir</t>
  </si>
  <si>
    <t>Contrato:
Adquisición herramienta informática para Banco de Proyectos (incluye dirección de proyectos y gestión de información en el BP).
Actividades: por definir</t>
  </si>
  <si>
    <t>Proyecto "Banco de Proyectos Grupo Empresarial EPM"</t>
  </si>
  <si>
    <t>Esta en planeación contratación (investigación de mercado)</t>
  </si>
  <si>
    <t>Un banco Diseñado</t>
  </si>
  <si>
    <t>1,8 años</t>
  </si>
  <si>
    <t>Banco de Proyectos diseñado e implementado</t>
  </si>
  <si>
    <t>En proceso (fase de planeación contratación)</t>
  </si>
  <si>
    <r>
      <rPr>
        <b/>
        <sz val="11"/>
        <rFont val="Calibri"/>
        <family val="2"/>
        <scheme val="minor"/>
      </rPr>
      <t>Contrato:</t>
    </r>
    <r>
      <rPr>
        <sz val="11"/>
        <rFont val="Calibri"/>
        <family val="2"/>
        <scheme val="minor"/>
      </rPr>
      <t xml:space="preserve">
Diseño de Banco de Proyectos del Grupo empresarial EPM y su implementación.
Actividades: 
1.Definición de la metodología de Dirección de Proyectos
Diseño Proceso de Gestión de Información de Proyectos en el BP
3.  Recomendación solución informática</t>
    </r>
  </si>
  <si>
    <t xml:space="preserve">Se encuentra en proceso de definicón </t>
  </si>
  <si>
    <t>Diseñar, ajustar, implementar e integrar las componentes: Estructura, Procesos, Recompensas y Personas, con la Tecnología de Información como elemento apalancador de las mismas</t>
  </si>
  <si>
    <t>Proyecto Arquitectura Empresarial</t>
  </si>
  <si>
    <t xml:space="preserve">DIRECCIÓN PLANEACION INSTITUCIONAL </t>
  </si>
  <si>
    <t>SECRETARÍA GENERAL</t>
  </si>
  <si>
    <t>Formación académica</t>
  </si>
  <si>
    <t>Continuación Mesa Procesal. La prestación de servicios de capacitación para un programa especializado en Derecho Procesal Civil, con énfasis en casuística para servidores de las Empresas Públicas de Medellín E.S.P.</t>
  </si>
  <si>
    <t>CT-2010-0561 R1</t>
  </si>
  <si>
    <t>Sesiones</t>
  </si>
  <si>
    <t>6 Sesiones para el 2012, de enero a junio</t>
  </si>
  <si>
    <t>Renovación 2 al CT-2010-0561, a partir del 25 de junio 2012</t>
  </si>
  <si>
    <t>Gestión Jurídica</t>
  </si>
  <si>
    <t>El seguimiento y la vigilancia de los procesos judiciales que se tramiten en el municipio de Medellín, así como todas sus actuaciones, en las que LAS EMPRESAS y las filiales que ésta represente.</t>
  </si>
  <si>
    <t>CT-2010-0288</t>
  </si>
  <si>
    <t>18/03/2010</t>
  </si>
  <si>
    <t>Informes</t>
  </si>
  <si>
    <t>Litigio Virtual. En el 2012 son 3 informes, ya que se vence el 18/03/2012</t>
  </si>
  <si>
    <t>Renovación contrato CT-2010-0288 de Litigio Virtual a partir del 18 de marzo de 2012</t>
  </si>
  <si>
    <t>El seguimiento y la vigilancia de los procesos judiciales  en LAS EMPRESAS y las filiales que ésta represente, y que se tramiten en los siguientes municipios de Colombia fuera de Medellín: Bogotá, Cartagena, Neiva; Cali, Popayán, Armenia, Bucaramanga, Montería, Sincelejo, Tunja y Riohacha.</t>
  </si>
  <si>
    <t>CT-2010-0289</t>
  </si>
  <si>
    <t>P&amp;G En el 2012 son 3 informes, ya que se vence el 18/03/2012 y se dá por terminado en esta fecha.</t>
  </si>
  <si>
    <t>Nuevo proceso de contratación para el seguimiento de los procesos judiciales fuera de Medellín</t>
  </si>
  <si>
    <t>Mesa jurídica:  naturaleza y régimen jurídico del Grupo Empresas Públicas de Medellín E.S.P. Para el debate, definición, concertación y unificación de las principales temáticas jurídicas relevantes para el Grupo Empresarial EPM, en especial la naturaleza jurídica y el régimen jurídico aplicable a la matriz, filiales y subsidiarias</t>
  </si>
  <si>
    <t xml:space="preserve"> Ορατός
-Publicaciones</t>
  </si>
  <si>
    <t xml:space="preserve">La edición de la Revista Letras Jurídicas en los años 2009, 2010 y 2011, así como la oferta adicional no vinculante para las Empresas, para la publicación de libros y cartillas institucionales de la Secretaría General. </t>
  </si>
  <si>
    <t>CT-2010-0173</t>
  </si>
  <si>
    <t>Ediciones</t>
  </si>
  <si>
    <t>2 ediciones de la "Revista Letras Jurídicas".
Y 2 publicaciones del libro "Leras Jurídicas -Monografías".</t>
  </si>
  <si>
    <t>Análisis para iniciar el proceso conducente a la inclusión de la Revista Letras Jurídicas  en la Base Bibliográfica Nacional (BBN-Publindex).</t>
  </si>
  <si>
    <t>informes</t>
  </si>
  <si>
    <t>Centro de Investigaciones Jurídicas</t>
  </si>
  <si>
    <t xml:space="preserve">Coordinación y Orientación en la segunda fase del Centro de Investigaciones Jurídicas en Servicios Públicos </t>
  </si>
  <si>
    <t>CT-2010-0225</t>
  </si>
  <si>
    <t>Carlos Bernal. En el 2012 son 2 informes, ya que se vence el 01/03/2012</t>
  </si>
  <si>
    <t>Renovación contrato CT-2010-0225 de Carlos Bernal a partir del 01 de marzo de 2012</t>
  </si>
  <si>
    <t>VALOR TOTAL DEL PROYECTO EN MILLONES</t>
  </si>
  <si>
    <t>ACTIVIDADES PLANEADAS</t>
  </si>
  <si>
    <t>No. CONTRATO</t>
  </si>
  <si>
    <t>TIEMPO DE EJECUCIÓN DEL CONTRATO</t>
  </si>
  <si>
    <t>OBJETO DEL CONTRATO</t>
  </si>
  <si>
    <t>(En caso que exista)</t>
  </si>
  <si>
    <t>FECHA DE INICIO</t>
  </si>
  <si>
    <t>FECHA FINAL</t>
  </si>
  <si>
    <t>PROGRAMADA PARA EL AÑO 2012</t>
  </si>
  <si>
    <t>PRESUPUESTO PARA EL AÑO 2012</t>
  </si>
  <si>
    <t>% EJECUCIÓN</t>
  </si>
  <si>
    <t>Largo Plazo</t>
  </si>
  <si>
    <t>Compra premios campaña madres gas 2012</t>
  </si>
  <si>
    <t>Por Definir</t>
  </si>
  <si>
    <t>NA</t>
  </si>
  <si>
    <t>premios campaña madres</t>
  </si>
  <si>
    <t>Compra premios campaña navidad gas 2012</t>
  </si>
  <si>
    <t xml:space="preserve"> premios campaña navidad</t>
  </si>
  <si>
    <t>Prestación de servicios de capacitación, a través de un chef, tendiente a realizar un proceso de sensibilización sobre los beneficios del gas natural por red en el Valle de Aburrá y otros municipios del Departamento de Antioquia</t>
  </si>
  <si>
    <t>N° de Eventos</t>
  </si>
  <si>
    <t>CT-29990836179</t>
  </si>
  <si>
    <t>Contratación de talleres de orientación hacia el cambio con el fin de sensibilizar y promover el servicio del gas natural con los diferentes públicos de interés, como parte de la estrategia de  masificación del gas natural en el Valle de Aburrá y otros Mu</t>
  </si>
  <si>
    <t>Por Definir / Renovación</t>
  </si>
  <si>
    <t>2011-000163</t>
  </si>
  <si>
    <t>Cocinetas</t>
  </si>
  <si>
    <t>2011-0336 R2</t>
  </si>
  <si>
    <t xml:space="preserve">Suministro de información confiable y actualizada del parque automotor que circula en los diferentes departamentos y ciudades del país, la cual deberá contener información asociada al número de vehículos discriminando las siguientes características: _x000D_
-	tipo de vehículo._x000D_
-	Servicio._x000D_
-	Cilindraje._x000D_
-	Modelo._x000D_
-	Tipo de combustión._x000D_
</t>
  </si>
  <si>
    <t>Base de datos</t>
  </si>
  <si>
    <t xml:space="preserve">Investigaciones de mercado correspondientes a  los proyectos de Planeación estratégica de la UEN Gas y estudios de ofertas y mercado de las líneas de negocio Hogares, GNC, GNV y Pymes y Comercios. </t>
  </si>
  <si>
    <t>Investigaciones de mercado requeridas según necesidades de información</t>
  </si>
  <si>
    <t>Prestación de servicios para soportar las actividades de rpeventa, venta, posventa, aseguramiento de ingresos e incremento de consumos</t>
  </si>
  <si>
    <t>Actas de pago</t>
  </si>
  <si>
    <t>12 meses</t>
  </si>
  <si>
    <t>Expansión Gas Natural</t>
  </si>
  <si>
    <t>Construcción de redes de poliétileno y conexión de clientes en el Valle de Aburrá y municipios GNC en zona de cobertura</t>
  </si>
  <si>
    <t>Global</t>
  </si>
  <si>
    <t>76 Km de red
32,000 Clientes</t>
  </si>
  <si>
    <t>Construcción de redes de poliétileno y conexión de clientes en los municipios GNC</t>
  </si>
  <si>
    <t>6 municipios GNC por definir</t>
  </si>
  <si>
    <t>Compra de medidores para la prestación de servicio de gas natural residencial</t>
  </si>
  <si>
    <t>UN</t>
  </si>
  <si>
    <t xml:space="preserve">Construcción de redes de poliétileno y acero en el corregimiento de La Sierra en el municipio de Nare </t>
  </si>
  <si>
    <t>16.3 Km</t>
  </si>
  <si>
    <t>Prestación de servicios de Asistencia Técnica</t>
  </si>
  <si>
    <t>CT-2011-000069</t>
  </si>
  <si>
    <t>Varias</t>
  </si>
  <si>
    <t>15 Km de red
9,000 clientes</t>
  </si>
  <si>
    <t>MB 1 CT-2011-000069</t>
  </si>
  <si>
    <t>MB 2 CT-2011-000069</t>
  </si>
  <si>
    <t>CT-2011-000284</t>
  </si>
  <si>
    <t>10.7 Km de red
6,400 clientes</t>
  </si>
  <si>
    <t>CT-2011-000285</t>
  </si>
  <si>
    <t>12.2 Km de red
7,400 clientes</t>
  </si>
  <si>
    <t>MB 1 CT-2011-000284</t>
  </si>
  <si>
    <t>MB 1 CT-2011-000285</t>
  </si>
  <si>
    <t>Construcción de redes de poliétileno y conexión de clientes en el municipio de Sonsón</t>
  </si>
  <si>
    <t>CT-2011-001228</t>
  </si>
  <si>
    <t>42 Km de red
1,080 clientes residenciales</t>
  </si>
  <si>
    <t>CT-2009-0637</t>
  </si>
  <si>
    <t>MB 1 CT-2009-0637</t>
  </si>
  <si>
    <t>CT-2009-0637-R1</t>
  </si>
  <si>
    <t>32,000 medidores</t>
  </si>
  <si>
    <t>CT-2009-0435</t>
  </si>
  <si>
    <t>MB 1 CT-2009-0435</t>
  </si>
  <si>
    <t>CT-2009-0435-R1</t>
  </si>
  <si>
    <t>CT-2009-0435-R2</t>
  </si>
  <si>
    <t>Mantenimiento transmision</t>
  </si>
  <si>
    <t xml:space="preserve">Reparación de dos (2)  transformadores de potencia de 5 y 1 MVA,  44/13.8 kV </t>
  </si>
  <si>
    <t>2011-001332</t>
  </si>
  <si>
    <t>Compra de materiales y herrajes para líneas de transmisión</t>
  </si>
  <si>
    <t>2011-001140</t>
  </si>
  <si>
    <t>GLOBAL</t>
  </si>
  <si>
    <t>N/A</t>
  </si>
  <si>
    <t>Prestación de servicios de disposición final certificada de cilindros con SF6 degradado</t>
  </si>
  <si>
    <t>2011-001101</t>
  </si>
  <si>
    <t>Kg</t>
  </si>
  <si>
    <t xml:space="preserve">Reparación y mantenimiento de tres  (3)  transformadores de potencia </t>
  </si>
  <si>
    <t>2011-001047</t>
  </si>
  <si>
    <t>2011-001048</t>
  </si>
  <si>
    <t>Construcción y montaje de variantes a líneas de transmisión existentes en la zona de influencia de las Empresas Públicas de Medellín</t>
  </si>
  <si>
    <t>2011-001041</t>
  </si>
  <si>
    <t>Mantenimiento de servidumbres de las líneas de transmisión de energía de las Empresas Públicas de Medellín E.S.P.</t>
  </si>
  <si>
    <t>2010-0317-R2</t>
  </si>
  <si>
    <t>Actas</t>
  </si>
  <si>
    <t>Desodorización, desinfección e higienización de servicios sanitarios</t>
  </si>
  <si>
    <t>2011-000306</t>
  </si>
  <si>
    <t xml:space="preserve">Ejecución de actividades de mantenimiento preventivo y correctivo en líneas de transmisión de energía </t>
  </si>
  <si>
    <t>2011-000138</t>
  </si>
  <si>
    <t>Construcción de obras civiles varias en subestaciones de energía y líneas de transmisión de energía de Empresas Públicas de Medellín E.S.P</t>
  </si>
  <si>
    <t>2011-000579</t>
  </si>
  <si>
    <t>Suministro de aceite dieléctrico mineral inhibido</t>
  </si>
  <si>
    <t>2011-000694</t>
  </si>
  <si>
    <t>GALON</t>
  </si>
  <si>
    <t>Compra de cable aislado cobre 400 mm2 120 kV y sus terminales aisladas para líneas de transmisión de las Empresas Públicas de Medellín E.S.P.</t>
  </si>
  <si>
    <t xml:space="preserve">2011-000023 </t>
  </si>
  <si>
    <t>METRO</t>
  </si>
  <si>
    <t>Consultoría para el diseño y definición de anclajes para trabajos en alturas en subestaciones de energía de las Empresas Públicas de Medellín E.S.P.</t>
  </si>
  <si>
    <t xml:space="preserve">Por definir </t>
  </si>
  <si>
    <t>Mantenimiento de equipos de subestaciones de energía</t>
  </si>
  <si>
    <t>Diseño, fabricación, instalación y puesta en servicio de sistema de transferencia automática a 13.8 kV para dos alimentadores</t>
  </si>
  <si>
    <t>Compra de equipos para mantenimiento de Subestaciones</t>
  </si>
  <si>
    <t>Compra de interruptores Merlin Gerin para 13.2 kV.</t>
  </si>
  <si>
    <t xml:space="preserve">Compra de estructuras metálicas para líneas de transmisión de energía de las Empresas Públicas de Medellín E.S.P. </t>
  </si>
  <si>
    <t>Servicio de análisis químico en aceite dieléctrico mineral</t>
  </si>
  <si>
    <t>Compra de repuestos y asesoría técnica para el mantenimiento de cambiadores</t>
  </si>
  <si>
    <t>Compra de deshumidificadores de aire para transformadores de potencia</t>
  </si>
  <si>
    <t>Reparación de cargadores / rectificadores de baterías de 125VDC</t>
  </si>
  <si>
    <t>Mantenimiento y reparación de equipos de pruebas eléctricas</t>
  </si>
  <si>
    <t>Mantenimiento de Interruptores de 44Kv ABB tipo EDF</t>
  </si>
  <si>
    <t>Compra de equipos para subestaciones y componentes para transformadores de potencia</t>
  </si>
  <si>
    <t>Compra Celda de salida de 13.2Kv</t>
  </si>
  <si>
    <t>Compra de equipos para mantenimiento de subestaciones de energía de Empresas Públicas de Medellín E.S.P.</t>
  </si>
  <si>
    <t>Mantenimiento de servidumbres de las líneas de Transmisión de energía de Empresas Públicas de Medellín E.S.P. (AMVA)</t>
  </si>
  <si>
    <t>Mantenimiento de servidumbres de las líneas de Transmisión de energía de Empresas Públicas de Medellín E.S.P. (Regiones)</t>
  </si>
  <si>
    <t>Estudio y monitoreo de avifauna en líneas de transmisión de energía de las Empresas Públicas de Medellín E.S.P.</t>
  </si>
  <si>
    <t>Monitoreo y análisis de sistemas de vertimientos y abasto de agua</t>
  </si>
  <si>
    <t>Digitalización de planos de torres de líneas de transmisión</t>
  </si>
  <si>
    <t>Servicio de mantenimiento del sistema SCADA para el Centro de Control de EPM</t>
  </si>
  <si>
    <t>UN FACTURAS</t>
  </si>
  <si>
    <t>Servicio de mantenimiento del sistema DASip para el Centro de Control de EPM</t>
  </si>
  <si>
    <t>Sin definir</t>
  </si>
  <si>
    <t>Modernizacion del sistema aire acondicionado del edificio AOT</t>
  </si>
  <si>
    <t>Reforma sala de conductores AOT</t>
  </si>
  <si>
    <t xml:space="preserve">Servicio de enlaces satelitales para la automatización de subestaciones de energía de Empresas Públicas de Medellín </t>
  </si>
  <si>
    <t>Compra equipamiento personal para trabajo en alturas</t>
  </si>
  <si>
    <t xml:space="preserve">Unidad </t>
  </si>
  <si>
    <t>Adquirir 2 arnes para el personal para trabajo en alturas.</t>
  </si>
  <si>
    <t>Compra equipos de fibra óptica PDH y repuestos para la red de telecomunicaciones de la Dirección Energía</t>
  </si>
  <si>
    <t>Mantenimiento maleta OMICRON</t>
  </si>
  <si>
    <t xml:space="preserve">Corto Plazo </t>
  </si>
  <si>
    <t>Compra de trajes ignífugos de 75 cal/cm2 para el personal operación</t>
  </si>
  <si>
    <t>Compraventa instalada de cable de fibra óptica incluidos los herrajes de instalación en diferentes sitios de la red de telecomunicaciones de la Dirección Energía de Empresas Públicas de Medellín E.S.P.</t>
  </si>
  <si>
    <t>ML</t>
  </si>
  <si>
    <t>Mantenimiento repetidoras de microondas del sistema de telecomunicaciones de la Dirección Energía</t>
  </si>
  <si>
    <t>Compra repuestos power line carrier(PLC) para el sistema de telecomunicaciones de la Dirección energía</t>
  </si>
  <si>
    <t>adecuaciones electricas en el AOT</t>
  </si>
  <si>
    <t>Actualización sistema de Gestión de la red de telecomunicaciones PDH de la Dirección Energía</t>
  </si>
  <si>
    <t>Compra repuestos para red de telecomunicaciones SDH de la Dirección Energía</t>
  </si>
  <si>
    <t>Compra repuestos para red de telecomunicaciones PDH de la Dirección Energía</t>
  </si>
  <si>
    <t>Actualización sistema de Gestión de la red de telecomunicaciones SDH de la Dirección Energía</t>
  </si>
  <si>
    <t>Compra de reles de protección</t>
  </si>
  <si>
    <t>Comprar 5 reles de proteccion para instalar en diferentes subestaciones</t>
  </si>
  <si>
    <t>Compra de sistema de gestión y administración de ciberactivos para equipos del Centro de Control de Energía y Subestaciones</t>
  </si>
  <si>
    <t>Reparacion Equipo de inyeccion</t>
  </si>
  <si>
    <t>Servicio de enlaces satelitales para las subestaciones de energía de EPM ubicadas en la región</t>
  </si>
  <si>
    <t>CT-29990436248-R2</t>
  </si>
  <si>
    <t>Servicio de soporte técnico y mantenimiento Software CAPE</t>
  </si>
  <si>
    <t>CT-2011000506</t>
  </si>
  <si>
    <t>Servicio de mantenimiento para el Sistema SCADA EMS del Centro Regional de Control de EPM</t>
  </si>
  <si>
    <t>CT-29990436925-R2</t>
  </si>
  <si>
    <t>Asesoria en temas regulatorios para la viabilidad de importación de gas natural</t>
  </si>
  <si>
    <t>CT-2011-000970</t>
  </si>
  <si>
    <t>6/09/2011</t>
  </si>
  <si>
    <t xml:space="preserve">UN </t>
  </si>
  <si>
    <t>2 INFORMES</t>
  </si>
  <si>
    <t xml:space="preserve">Mercado de Derivados Energéticos. </t>
  </si>
  <si>
    <t>Celebración y registro en DERIVEX de las operaciones que EPM ordene, y la participación por cuenta de EPM ante la Cámara de Riesgo Central de Contraparte para compensar, liquidar y garantizar dichas operaciones</t>
  </si>
  <si>
    <t>CT-2011-000853</t>
  </si>
  <si>
    <t>No aplica</t>
  </si>
  <si>
    <t>CT-2011-000854</t>
  </si>
  <si>
    <t>CT-2011-000855</t>
  </si>
  <si>
    <t>pesos</t>
  </si>
  <si>
    <t>Distribucion Gas natural Valle de Aburra</t>
  </si>
  <si>
    <t>Transporte en vehículos tipo automóvil, camioneta doble cabina y campero para servidores de las Empresas Públicas de Medellín y/o personas autorizadas en el Área Metropolitana.</t>
  </si>
  <si>
    <t>CT-2011-001022</t>
  </si>
  <si>
    <t>Horas</t>
  </si>
  <si>
    <t>Mantenimiento edificios</t>
  </si>
  <si>
    <t>Reparación, adecuación, ampliaciones, reformas, mantenimiento y construcción de obras civiles en las instalaciones físicas e infraestructura de las Empresas Públicas de Medellín E.S.P. Ubicadas en el Valle del Aburrá Zona Sur</t>
  </si>
  <si>
    <t>CT2009-0533</t>
  </si>
  <si>
    <t>Mantenimiento maquinaria</t>
  </si>
  <si>
    <t>Mantenimiento maquinaria y equipos SORG</t>
  </si>
  <si>
    <t>OR</t>
  </si>
  <si>
    <t>Mantenimiento de vehículos</t>
  </si>
  <si>
    <t>Mantenimiento de vehículos Flota verde EEPPM</t>
  </si>
  <si>
    <t>Construcción de obras reposición de redes y ejecución de actividades para la opera y el mantto del sistema de distri de gas natural y de las instalaciones e interiores que atiende EEPPM</t>
  </si>
  <si>
    <t>CT-2011-1241</t>
  </si>
  <si>
    <t>Mantenimiento equipos GNC</t>
  </si>
  <si>
    <t>Mantenimiento  compresora y descompresoras sistema GNC</t>
  </si>
  <si>
    <t>Mantenimiento equipos</t>
  </si>
  <si>
    <t>Mantenimiento equipos SORG</t>
  </si>
  <si>
    <t>Mantenimiento equipos de comunicación</t>
  </si>
  <si>
    <t>Mantenimiento equipos de comunicación, RTU's sistema SCADA</t>
  </si>
  <si>
    <t>Servicios juridicos</t>
  </si>
  <si>
    <t>a) Adelantar la representación legal en los procesos penales que se encuentren en curso y en los que se inicien a partir de la fecha por hechos relacionados con hurto de cable y la defraudación de fluidos de energía eléctrica, gas natural, agua potable y agua residual contra EPM y UNE Telecomunicaciones en cualquiera de las modalidades existentes o en las que surjan a futuro. b) Asesoría penal directa y que guarde relación directa con el fraude mencionado. c) Realización de charlas, capacitaciones y asesoría tendiente a la difusión del derecho penal. d) Interlocución ante las autoridades penales para el impulso de los procesos y para la formulación de estrategias tendientes a efectivizar la gestión contratada.</t>
  </si>
  <si>
    <t>90097930-6</t>
  </si>
  <si>
    <t>Servicio de calibración del equipo PROVER y Servicio de calibración de dos (2) medidores industriales.</t>
  </si>
  <si>
    <t>Unidad</t>
  </si>
  <si>
    <t>Compra materiales control pérdidas</t>
  </si>
  <si>
    <t>Suministro de dispositivos especiales a la Unidad Operación Comercial</t>
  </si>
  <si>
    <t>0652</t>
  </si>
  <si>
    <t>18.800 Dispositivos</t>
  </si>
  <si>
    <t xml:space="preserve">Programa calidad de agua en los embalses en La Fe, Riogrande II y Porce II.  </t>
  </si>
  <si>
    <t>LARGO PLAZO</t>
  </si>
  <si>
    <t xml:space="preserve">Desarrollar 7 proyectos de investigación sobre dinámica de procesos físicos, químicos y bióticos, en los embalses de Porce II, Riogrande II y La Fe, que impactan a los Negocios Energía y aguas. </t>
  </si>
  <si>
    <t>Entregables</t>
  </si>
  <si>
    <t xml:space="preserve">Eco-fisiología del Buchón de agua en el Embalse Porce II. </t>
  </si>
  <si>
    <t>CORTO PLAZO</t>
  </si>
  <si>
    <t xml:space="preserve">Formular un modelo de crecimiento y desarrollo, basado en variables eco fisiológicas para el manejo integrado del buchón de agua (eichhornia crassipes) en ecosistemas acuáticos lénticos”, como el embalse Porce II de LAS EMPRESAS. </t>
  </si>
  <si>
    <t>CT-2010-0263</t>
  </si>
  <si>
    <t>Aprovechamiento buchón de agua en procesos de revegetalización</t>
  </si>
  <si>
    <t xml:space="preserve">Evaluar la viabilidad del uso del Buchón en procesos de recuperación y revegetalización de áreas intervenidas o degradadas, generadas por las actividades constructivas del Proyecto Hidroeléctrico Porce III. </t>
  </si>
  <si>
    <t>CT-2010-1263</t>
  </si>
  <si>
    <t xml:space="preserve">Desarrollo de un localizador de fallas paralelas en redes. </t>
  </si>
  <si>
    <t>Desarrollar un localizador de fallas paralelas en redes de distribución, que permitirá disminuir los tiempos de atención de las fallas y por consiguiente los costos por tiempos de desconexión de los usuarios.</t>
  </si>
  <si>
    <t>51000429395 - Acta 3</t>
  </si>
  <si>
    <t>Proyecto para evaluar la eficiencia energética con cogeneración mediante el uso del Gas Natural</t>
  </si>
  <si>
    <t>Identificar nichos de mercado para la penetración con Gas Natural en industrias, tales como eficiencia energética y cogeneración</t>
  </si>
  <si>
    <t>51000437960 - Acta N° 14</t>
  </si>
  <si>
    <t>2860</t>
  </si>
  <si>
    <t>Análisis costo beneficio de sustitución de carbón por consumo de gas natural en equipos de calentamiento de procesos de lavado</t>
  </si>
  <si>
    <t xml:space="preserve">Encontrar la factibilidad técnico, económica, tecnológica y ambiental  en la  sustitución de combustibles líquidos y carbón por gas natural,  a los clientes comerciales e industriales de EPM que aún no cuentan con el servicio y que no cumplen  los estándares de emisiones permisibles establecidos en la resolución 909 del Ministerio de Ambiente Vivienda y Desarrollo Territorial  </t>
  </si>
  <si>
    <t>51000437960 - Acta N° 9</t>
  </si>
  <si>
    <t xml:space="preserve">Producción de Biobutanol y bioetanol con biomasa lignocelulósica. Fase I.  </t>
  </si>
  <si>
    <t>Producir bioetanol y Biobutanol como combustibles para generación, a partir de biomasa lignocelulósica</t>
  </si>
  <si>
    <t xml:space="preserve">CT-29990835044 </t>
  </si>
  <si>
    <t xml:space="preserve">Viabilidad de producción combustibles líquidos por pirólisis a base residuos cafetero y forestal </t>
  </si>
  <si>
    <t>Hasta el momento se ha diseñado y construido el reactor de pirolisis de lecho fluidizado, se hizo un diagnóstico de capacidades y disponibilidad de residuos cafetero- forestal, y se inició  el análisis de ciclo de vida y diseño de experimentos.</t>
  </si>
  <si>
    <t xml:space="preserve">Bioenergía: producción de biodiesel a partir de tejido de jatropha desarrollado invitro.   </t>
  </si>
  <si>
    <t>A nivel de laboratorio se ha producido biocombustible a partir de células en suspensión de semillas de Jatropha curcas. Este procedimiento fue registrado y recibió Patente de Estados Unidos. El estudio se encuentra en prueba piloto a una escala mayor en un biorreactor de 14 litros.</t>
  </si>
  <si>
    <t>51000429391 - Acta 17</t>
  </si>
  <si>
    <t>Bioenergía: Biocombustibles a partir de microalgas. Fase I</t>
  </si>
  <si>
    <t xml:space="preserve">Implementar un protocolo de cultivo de microalgas y producción de biocombustibles de tercera generación (es decir, con insumos que no hacen parte de la canasta alimentaria). </t>
  </si>
  <si>
    <t>CT-2010-1232</t>
  </si>
  <si>
    <t>Diseño y fabricación de celdas solares híbridas</t>
  </si>
  <si>
    <t>Desarrollar unas celdas solares con nuevos materiales potenciales de bajo costo y alta eficiencia en producción. La comprobación de este desarrollo podría impulsar la energía solar en Colombia.</t>
  </si>
  <si>
    <t>Programa para implementar un Sistema de Gestión Integral Energía</t>
  </si>
  <si>
    <t xml:space="preserve">Ya se ejecutó el proyecto 1 del programa. Se está estructurando el proyecto 2 y 3: Desarrollo e implementación de sistemas de gestión integral de la energía en el sector productivo nacional y divulgación de resultados para el sector energético y específicamente para los clientes de las empresas participantes. </t>
  </si>
  <si>
    <t>Definición de la estrategia de cambio Climático</t>
  </si>
  <si>
    <t>Desarrollo Estrategia CC para EPM. Declaratoria. Plan de Accion. Proyecto PTAR Bello. Inventario GEI. Proyecto REDD+ - Proyecto de mitigación de GEI mediante la DEFORESTACIÓN EVITADA.
Acompañamiento en las Verificaciones de proyectos MDL del negocio generación.
Proyecto PTAR Bello como proyecto MDL.
Certificación LEED - se busca la certificación del edificio EPM</t>
  </si>
  <si>
    <t>CT-2010-0168</t>
  </si>
  <si>
    <t xml:space="preserve">
Desarrollo del medidor prepago (4 Etapas)
  </t>
  </si>
  <si>
    <t xml:space="preserve">Desarrollo, producción y comercialización de medidores prepago de energía eléctrica”, en 4 etapas sucesivas: En 2012 iniciamos etapa 3: Producción en serie e instalación; y, 4: Comercialización y regalías.  </t>
  </si>
  <si>
    <t xml:space="preserve">CT-2010-0124 </t>
  </si>
  <si>
    <t>Medidores</t>
  </si>
  <si>
    <t>Consultoría valoración EXCELEC a cargo de la UNIÓN TEMPORAL (Esfinanzas - sumatoria)</t>
  </si>
  <si>
    <t>Estructurar una propuesta empresarial, con participación patrimonial de EPM y EXCELEC INTERNATIONAL S.A.S., para atender la producción masiva y comercialización de medidores de energía eléctrica prepago, sin limitarse a ello</t>
  </si>
  <si>
    <t>CT-2010-1220 - Acta 1</t>
  </si>
  <si>
    <t>Cambios institucionales para la penetración de tecnologías limpias de electricidad y su impacto sobre la economía</t>
  </si>
  <si>
    <t>Abordar el análisis y la evaluación del marco institucional, de políticas publicas y regulatorio necesarias para la adopción y apropiación de tecnologías bajas en carbono en el sector eléctrico colombiano, para ofrecer elementos de juicio útiles para el país, la industria y los diferentes agentes del sector eléctrico</t>
  </si>
  <si>
    <t>Proyecto piloto Fase I y II vehículo eléctrico</t>
  </si>
  <si>
    <t>Realizar pruebas operativas tanto a los vehículos como a los cargadores de baterías y sus efectos sobre las redes de distribución de energía, dependiendo de los resultados de esta fase I, se procederá con la fase II con la participación del sector industrial, consistente en la traída de 250 vehículos.</t>
  </si>
  <si>
    <t>Valorización energética de R.S.U. del Área Metropolitana del Valle de Aburrá</t>
  </si>
  <si>
    <t xml:space="preserve"> Implementar una estrategia que permita la valorización energética de los residuos sólidos urbanos RSU del Área Metropolitana del Valle de Aburrá que a la vez vislumbre las posibilidades en el mercado nacional e internacional.
</t>
  </si>
  <si>
    <t xml:space="preserve">Factibilidad de la energía geotérmica en Colombia, especialmente en la zona del Complejo Volcánico del Ruiz. </t>
  </si>
  <si>
    <t>Se retomaron los estudios de la CHEC con el acompañamiento de empresas extranjeras expertas en el tema (Una de los Estados Unidos y otra de Australia). Sus informes técnicos confirman la viabilidad de continuar los estudios, que permitan definir el mejor lugar para la explotación del recurso geotérmico existente en la zona.</t>
  </si>
  <si>
    <t>Aunar esfuerzos entre IDEAM y EPM, para el análisis de la afectación del recurso hídrico bajo los escenarios de cambio climático</t>
  </si>
  <si>
    <t xml:space="preserve">Trabajar en el análisis de la vulnerabilidad del régimen hidrológico bajo los escenarios de variabilidad y cambio climático estimados por el IDEAM sobre las subzonas de operación de EPM en los ríos Porce y Nare..  </t>
  </si>
  <si>
    <t>PC-2011-001947</t>
  </si>
  <si>
    <t>Medición de GEI en embalses de EPM</t>
  </si>
  <si>
    <t>Desarrollar modelos para la medición de GEI en embalses</t>
  </si>
  <si>
    <t>Proyecto Piloto instalación de Kit solar en ZNI</t>
  </si>
  <si>
    <t xml:space="preserve">Proyecto Piloto consistente en instalación de 40 kits solares para desarrollar modelo de negocio que permita la sostenibilidad de esta solución solar. </t>
  </si>
  <si>
    <t>EP-2012-000045</t>
  </si>
  <si>
    <t>Proyecto piloto telegestión para alumbrado público</t>
  </si>
  <si>
    <t>Se busca gestionar remotamente aprox. 1000 luminarias de varias potencias en vías secundarias y parques del Municipio de Medellín.</t>
  </si>
  <si>
    <t xml:space="preserve">Proceso de industrialización del Horno de crisol auto regenerativo - Fase III </t>
  </si>
  <si>
    <t>Se firmará un acuerdo de licenciamiento de la patente otorgad con un tercero, para obtener recusos económicos no operativos por la explotación de este activo (regalías)</t>
  </si>
  <si>
    <t>Bioenergía: 
producción de biodiesel a partir de tejido de jatropha desarrollado invitro.  Fase II: Optimización de línea.</t>
  </si>
  <si>
    <t>Aplicación de técnicas biotecnológicas para acelerar y mejorar la productividad del aceite producido bajo un  sistema in vitro</t>
  </si>
  <si>
    <t>Generación de energía eléctrica a partir de Plantaciones forestales 
- fase II: modelo de negocio</t>
  </si>
  <si>
    <t>Diseñar un modelo de negocio rentable para todas las partes involucradas en el negocio y definir los pasos para materializar un proyecto piloto en el país, replicable a otras plantaciones similares.</t>
  </si>
  <si>
    <t xml:space="preserve">Estudios previos para implementación de centro de nanotecnología </t>
  </si>
  <si>
    <t xml:space="preserve">Contratar los estudios previos requeridos para determinar la factibilidad de construir el Centro Nacional de Nanotecnología </t>
  </si>
  <si>
    <t>EP-2012-000050</t>
  </si>
  <si>
    <t xml:space="preserve">Contrato de expertos para eventos de innovación (Acta 5 con RutaN): </t>
  </si>
  <si>
    <t>Gestión del proceso de adquisición del mobiliario para las torres A y B del edificio Ruta N, cuyo mandato le fue dado a RUTA N, mediante al acta de modificación No 1 del convenio celebrado entre EPM, el Municipio de Medellín y UNE para la construcción del edificio en mención
Gestión para la asesoría técnica del experto Orlando de Jesús Villa Carvajal para la ejecución de actividades de gestión tecnológica y transferencia de tecnología de los resultados de proyectos de investigación 
Gestión para la consecución del experto Fernando Prieto para asesoría técnica y definición del modelo de negocio del proyecto “Aceites vegetales para biodiesel vía reproducción celular”
Gestión de hasta cinco (5) eventos de propiedad intelectual
Gestión de hasta cinco (5) eventos de innovación
Gestión de la consecución de hasta cinco (5) expertos para la asesoría en ciencia, tecnología y/o innovación</t>
  </si>
  <si>
    <t>80000840957 - Acta 5</t>
  </si>
  <si>
    <t>Entregables, expertos, actividades de innovación</t>
  </si>
  <si>
    <t>2, 2, 2</t>
  </si>
  <si>
    <t>Producción del proyecto educativo multimedial viva la ciencia</t>
  </si>
  <si>
    <t>Participar de manera proporcional, como más adelante lo especifica este Convenio, en la elaboración de los diferentes componentes del Proyecto Educativo multimedial Viva la Ciencia.</t>
  </si>
  <si>
    <t>Paquetes Educativos</t>
  </si>
  <si>
    <t>DIRECCIÓN GESTIÓN HUMANA Y ORGANIZACIONAL</t>
  </si>
  <si>
    <t>Calidad de vida: riesgo sicosocial</t>
  </si>
  <si>
    <t>Contratación de sicólogos especialistas para entrega de resultados e implantación de planes de acción con áreas identificadas como prioritarias y aplicación de herramientas del Ministerio de la Protección Social a dichas áreas.</t>
  </si>
  <si>
    <t>Clima Organizacional</t>
  </si>
  <si>
    <t>Contratación para medición de clima Organizacional en EPM</t>
  </si>
  <si>
    <t>Prestación de servicios de acompañamiento en temas de psicología organizacional para mejorar la efectividad de los directivos y equipos de trabajo según los lineamientos establecidos por EPM.</t>
  </si>
  <si>
    <t>CT-2009-0076-R2
CT-2009-0077-R2
CT-2009-0078-R2
CT-2009-0079-R2
CT-2009-0080-R2</t>
  </si>
  <si>
    <t>Proyecto NIIF  Grupo EPM - Normas Internacionales de Información Financiera.</t>
  </si>
  <si>
    <t>Adopción plena de las Normas Internacionales de Información Financiera - NIIF - en las empresas de Grupo EPM</t>
  </si>
  <si>
    <t>CT-2011-000467</t>
  </si>
  <si>
    <t>Hitos</t>
  </si>
  <si>
    <t>Diseño y Planeacion</t>
  </si>
  <si>
    <t>Desarrollo de Soluciones</t>
  </si>
  <si>
    <t>Implementacion</t>
  </si>
  <si>
    <t>Asimilación del cambio - Ejecucion</t>
  </si>
  <si>
    <t xml:space="preserve">Tomando como base los productos con los cuales cuenta el Grupo EPM tales como: Mapeo de involucrados, Plan de asimilación con alcance del Grupo EPM y Plan de capacitación de alto nivel institucional, corporativo y competitivo y considerando que el avance natural del Programa NIIF genera cambios en cuanto a:
• Nuevos involucrados o cambios en el nivel de involucramiento en involucrados actuales,
• Nuevas necesidades en la formulación de acciones del plan de asimilación debido al nivel de participación y/o a la identificación de nuevos impactos producto del avance de las fases del programa,
• Revisión, ajuste y/o detallado del plan de capacitación debido a la identificación detallada de los cambios por la implementación de requerimientos en la implementación de las NIIF.
</t>
  </si>
  <si>
    <t>CT-2010-1338</t>
  </si>
  <si>
    <t>Gestión documental</t>
  </si>
  <si>
    <t>Diseño y ejecución de servicios asociados con la gestión de la información y la documentación requerida para el Proyecto NIIF Grupo EPM de las Empresas Públicas de Medellín.</t>
  </si>
  <si>
    <t>CT-2010-0172</t>
  </si>
  <si>
    <t>Honorarios asistencia tecnica JDEdwards EnterpriseOne</t>
  </si>
  <si>
    <t>A través de este contrato se apoyará el proceso de desarrollo de servicios de tecnología de información - TI, basado en prácticas CMMI(Ingeniería de Requisitos Análisis de la Solución, Diseño y Construcción, con su correspondiente aseguramiento y control de calidad.</t>
  </si>
  <si>
    <t>CT-2011-000103</t>
  </si>
  <si>
    <t>Beneficios</t>
  </si>
  <si>
    <t>Cálculo actuarial para Pensiones de jubilación, cuotas partes pensionales, primas de antigüedad, cesantías retroactivas y beneficio por servicios públicos en algunas filiales.</t>
  </si>
  <si>
    <t>Intangibles nuevos (Outsourcing nuevos desarrollos)</t>
  </si>
  <si>
    <t>Intangibles reposicion de licencias administrativas</t>
  </si>
  <si>
    <t>Asesoria  tributaria</t>
  </si>
  <si>
    <t>Prestación de servicios de asesoría tributaria para EPM.</t>
  </si>
  <si>
    <t>CT2011-000169</t>
  </si>
  <si>
    <t>Mensualidad</t>
  </si>
  <si>
    <t>A la fecha de este informe el contrato esta en proceso de renovación.</t>
  </si>
  <si>
    <t>Aplicativo Declaración de Renta</t>
  </si>
  <si>
    <t>Contratatación de aplicativo  para la Declaración de Renta de Epm</t>
  </si>
  <si>
    <t>Julio de 2012</t>
  </si>
  <si>
    <t>Diciembre de 2012</t>
  </si>
  <si>
    <t>Entrega de aplicativo, para elaboración declaración de renta.</t>
  </si>
  <si>
    <t>Asesoria  tributaria (Precios de Transferencia)</t>
  </si>
  <si>
    <t>Prestación de servicios de asesoria tributaria en la elaboración del Estudio de Precios de Transferencia y Declaración consolidada de Precios de Transferencia.</t>
  </si>
  <si>
    <t>Abril de 2012</t>
  </si>
  <si>
    <t>Junio de 2012</t>
  </si>
  <si>
    <t>Asesoría prestada</t>
  </si>
  <si>
    <t>Proyecto: Recaudo en Línea por Ventanilla</t>
  </si>
  <si>
    <t>Análisis del requerimiento
Análisis de diseño
Construcción
Despliegue y asimilación de la información, pruebas</t>
  </si>
  <si>
    <t>CT-2011-000102 (Contrato general EPM con Intergrupo construcción de software)</t>
  </si>
  <si>
    <t>02/01/2012</t>
  </si>
  <si>
    <t>Lotes</t>
  </si>
  <si>
    <t>Proyecto Migración XRT</t>
  </si>
  <si>
    <t>Elaboración del GAP, planeación y migración
Pruebas, despliegue en producción y estabilización
Replicación en Filiales</t>
  </si>
  <si>
    <t>Trim I/2012</t>
  </si>
  <si>
    <t>Trim II/2013</t>
  </si>
  <si>
    <t>Fases</t>
  </si>
  <si>
    <t>Proyecto Migracion Debito Cobrar OPEN SMARTFLEX</t>
  </si>
  <si>
    <t xml:space="preserve">AXEDE, OPEN SYSTEM, IBM, 
Prestación de servicios de desarrollo, mantenimiento, evolución y soporte.
Los sistemas impactados son OPEN y LECTURA </t>
  </si>
  <si>
    <t>N.A.</t>
  </si>
  <si>
    <t>Para el año 2012 se tienen planedas las siguientes actas de trabajo:
1. Completar el lote del proyecto de validación de datos y certificación de la carga
2. Completar el lote de trabajo de pruebas funcionales
3. Entregar la solución en producción</t>
  </si>
  <si>
    <t>Outsourcing</t>
  </si>
  <si>
    <t>Infraestructura</t>
  </si>
  <si>
    <t xml:space="preserve">Estadisticas de Recaudo  </t>
  </si>
  <si>
    <t>Adecuaciones en el cubo para el tema de transacciones contables
Adecuaciones en el modelo para el tema de transacciones contables
Estabilización en ambiente de producción
Optimización y particionamiento del cubo</t>
  </si>
  <si>
    <t>80000428610  
80000428612</t>
  </si>
  <si>
    <t>Contrato traducción de documentos e interpretación simultánea para teleconferencias</t>
  </si>
  <si>
    <t>Traducción de documentos e interpretación simultánea para teleconferencias</t>
  </si>
  <si>
    <t>Documentos traducidos</t>
  </si>
  <si>
    <t>Abogados locales para operaciones de crédito público</t>
  </si>
  <si>
    <t>Asesoria legal para la adquisición de créditos con banca multilateral</t>
  </si>
  <si>
    <t>Contrato crédito firmado</t>
  </si>
  <si>
    <t>Banca de inversión internacional para proyecto Ituango</t>
  </si>
  <si>
    <t>Asesoría financiera estructura financiera proyecto Ituango</t>
  </si>
  <si>
    <t>Propuesta estructura financiación</t>
  </si>
  <si>
    <t>Abogados internacionales para negociación socio Ituango</t>
  </si>
  <si>
    <t>Asesoría legal para negociación participación socio en proyecto Ituango</t>
  </si>
  <si>
    <t>Modificaciones a ISDAS firmadas</t>
  </si>
  <si>
    <t>Proyecto Presupuesto EPM</t>
  </si>
  <si>
    <t>Contrato de consultoría</t>
  </si>
  <si>
    <t>CT-2010-0430</t>
  </si>
  <si>
    <t>Licenciamiento, servidores, soporte técnico, capacitación y asimilación cambio</t>
  </si>
  <si>
    <t>Proyecto Informes Financieros Gerenciales</t>
  </si>
  <si>
    <t>Analisis, diseño y los desarrollos de IFG</t>
  </si>
  <si>
    <t xml:space="preserve">CT-2011-000102
</t>
  </si>
  <si>
    <t>Ubicación y alquiler del servidor de producción</t>
  </si>
  <si>
    <t>Licencias del software de microsoft para el servidor de producción -Contrato Select-</t>
  </si>
  <si>
    <t>CT-2010-1322</t>
  </si>
  <si>
    <t>Capacitaciones en productos microsoft (inteligencia de negocios y excel), a través de la unidad de aprendizaje organizacional</t>
  </si>
  <si>
    <t xml:space="preserve">51000437960 PC 71127 </t>
  </si>
  <si>
    <t>Proyecto Consolidación Estados Financieros</t>
  </si>
  <si>
    <t>Analisis, diseño y los desarrollos de Edos Fros EPM y Consolidacion Edos Fros de Grupo</t>
  </si>
  <si>
    <t>CT 2011-000760</t>
  </si>
  <si>
    <t>Ubicación y Compra alquiler de la infraestructura requerida para elproyecto</t>
  </si>
  <si>
    <t>CT-80000435210</t>
  </si>
  <si>
    <t>Licencias del software de Hyperion requeridas para la solución</t>
  </si>
  <si>
    <t>Capacitaciones en productos de hyperion, a través de la Subdirección tecnología de información (contrato con Oracle)</t>
  </si>
  <si>
    <t>DIRECCION CRECIMIENTO INTERNACIONAL</t>
  </si>
  <si>
    <t>CRECIMIENTO INTERNACIONAL</t>
  </si>
  <si>
    <t>Identificación de alternativas de inversión</t>
  </si>
  <si>
    <t>Investigación de Mercado en México</t>
  </si>
  <si>
    <t>Asesoría legal en México</t>
  </si>
  <si>
    <t>CT-2010-0155</t>
  </si>
  <si>
    <t>22/01/2010</t>
  </si>
  <si>
    <t>21/01/2012</t>
  </si>
  <si>
    <t>Contrato</t>
  </si>
  <si>
    <t>Estudios del Sector de Agua Potable y Saneamiento Básico de Costa Rica.</t>
  </si>
  <si>
    <t>Acta de trabajo</t>
  </si>
  <si>
    <t>Estudios del Sector de Agua Potable y Saneamiento Básico de El Salvador.</t>
  </si>
  <si>
    <t>Estudios del Sector de Agua Potable y Saneamiento Básico de Panamá.</t>
  </si>
  <si>
    <t>Estudios del Sector de Agua Potable y Saneamiento Básico de Perú (BOREAS).</t>
  </si>
  <si>
    <t>Estudios del Sector de Agua Potable y Saneamiento Básico de Puerto Rico.</t>
  </si>
  <si>
    <t>Estudios económico, social y político de Perú.</t>
  </si>
  <si>
    <t>Estudios económico, social y político de Costa Rica.</t>
  </si>
  <si>
    <t>Estudios económico, social y político de República Dominicana.</t>
  </si>
  <si>
    <t>Abogados para proyectos México.</t>
  </si>
  <si>
    <t>Técnico para proyectos México.</t>
  </si>
  <si>
    <t xml:space="preserve">Proyecto IRIS banca de inversión.           </t>
  </si>
  <si>
    <t>Análisis y valoración de alternativas de crecimiento</t>
  </si>
  <si>
    <t>Servicio de asesoría en la estructuración y valoración de ofertas</t>
  </si>
  <si>
    <t>CT-2010-1217</t>
  </si>
  <si>
    <t>Acta de Trabajo</t>
  </si>
  <si>
    <t>Indeterminado</t>
  </si>
  <si>
    <t>CT-2010-1218</t>
  </si>
  <si>
    <t>CT-2010-1219</t>
  </si>
  <si>
    <t>CT-2010-1220</t>
  </si>
  <si>
    <t>CT-2010-1221</t>
  </si>
  <si>
    <t>CT-2010-1222</t>
  </si>
  <si>
    <t>CT-2010-1223</t>
  </si>
  <si>
    <t>CT-2010-1224</t>
  </si>
  <si>
    <t>CT-2010-1225</t>
  </si>
  <si>
    <t>CT-2010-1226</t>
  </si>
  <si>
    <t>DIRECCIÓN SERVICIOS INSTITUCIONALES</t>
  </si>
  <si>
    <t>Implementación del Sistema de Gestión Integral de Riesgos en EPM</t>
  </si>
  <si>
    <t>1. Capacitación del personal Gestión Integral de Riesgos y Software ERA
2. Campaña divulgación y sensibilización en la organización y filiales.
3. Implementación de la Gestión Integral de Riesgos.
4. Diseño e implementación de plan de Continuidad.</t>
  </si>
  <si>
    <t>CT-2011-000957 este es solo un contrato inicial</t>
  </si>
  <si>
    <t>Riesgos y Seguros</t>
  </si>
  <si>
    <t>4 entregables</t>
  </si>
  <si>
    <t>ENTER Fase II. Evolucionar la solución de estión Documental para soportar digitalmente el expediente del cliente</t>
  </si>
  <si>
    <t>Prestación de servicios para apoyar el proceso de Desarrollo del Servicio de Tecnología de Información –TI- basado en prácticas CMMI (Ingeniería de Requisitos, Análisis de la Solución y Diseño y Construcción,  con su correspondiente aseguramiento y control de calidad) en LAS EMPRESAS. Grupo 1: Aplicaciones bajo plataformas con predominio de tecnología Microsoft.</t>
  </si>
  <si>
    <t>CT-2011-000102</t>
  </si>
  <si>
    <t>Horas de prestación del servicio</t>
  </si>
  <si>
    <t>5700 horas/hombre</t>
  </si>
  <si>
    <t>Prestación de los servicios de Data Center, suministro de soluciones de TI, arrendamiento de soluciones de TI, accesorios y servicios asociados.</t>
  </si>
  <si>
    <t>CT-2011-000531</t>
  </si>
  <si>
    <t>Espacio almacenamiento</t>
  </si>
  <si>
    <t>130 Gb</t>
  </si>
  <si>
    <t>Contratar los servicios de soporte Premier para desarrollo</t>
  </si>
  <si>
    <t>CT-2009-0544</t>
  </si>
  <si>
    <t>90 horas</t>
  </si>
  <si>
    <t>Contratar el suministro y actualización de las licencias de los productos Microsoft, por el sistema de precios por volumen, mediante el esquema comercial de licencia corporativa Select.</t>
  </si>
  <si>
    <t>Licencias</t>
  </si>
  <si>
    <t>200 licencias de sharepoint, 1 licencia de SQL Enterprise y 3 Licencias de Windows Server 2008</t>
  </si>
  <si>
    <t>Consultoría Microsoft</t>
  </si>
  <si>
    <t>Contrato de STI</t>
  </si>
  <si>
    <t>Servicios de consultoría</t>
  </si>
  <si>
    <t>45 horas</t>
  </si>
  <si>
    <t xml:space="preserve">
SAM (Soporte, Actualización y Mantenimiento), Suministro, Capacitación y Asistencia técnica y funcional para un software de captura de documentos
</t>
  </si>
  <si>
    <t>Actividad global</t>
  </si>
  <si>
    <t>Ejecutar la totalidad del objeto</t>
  </si>
  <si>
    <t>Numero de servdiores</t>
  </si>
  <si>
    <t>3 Servidores</t>
  </si>
  <si>
    <t xml:space="preserve">(Inversion)
</t>
  </si>
  <si>
    <t xml:space="preserve">Comunicaciones Unificadas </t>
  </si>
  <si>
    <t>Mediano</t>
  </si>
  <si>
    <t>Suministro de equipos gateway (para hacer la integración con la red telefónica pública conmutada -PSTN-)</t>
  </si>
  <si>
    <t>CT-2009-0518</t>
  </si>
  <si>
    <t>Suministro y actualización de licencias de Lync (OCS)</t>
  </si>
  <si>
    <t>Puestos de trabajo</t>
  </si>
  <si>
    <t>Suministro de licencias de tarificación de llamadas.</t>
  </si>
  <si>
    <t>CT-2011-001108</t>
  </si>
  <si>
    <t>Suministro de teléfonos certificados para OCS</t>
  </si>
  <si>
    <t># teléfonos</t>
  </si>
  <si>
    <t>Servicio de Mesa de Ayuda y renting de  teléfonoso y accesorios.</t>
  </si>
  <si>
    <t>CT-2011-000806</t>
  </si>
  <si>
    <t>29/02/2013</t>
  </si>
  <si>
    <t>PC Virtual</t>
  </si>
  <si>
    <t>Suministro de la solución de servidores para virtualizar 500 escritorios</t>
  </si>
  <si>
    <t>Debido a restricciones de presupuesto las metas físicas de este proyecto se desplazaron para el año 2013.</t>
  </si>
  <si>
    <t>Implementación Servicios Gestionados de Seguridad</t>
  </si>
  <si>
    <t>Prestación de servicios gestionados de seguridad (monitoreo, correlación de eventos)</t>
  </si>
  <si>
    <t>Se estima tener en ejecución el contrato en julio de 2012.</t>
  </si>
  <si>
    <t>OTIOS - Rediseño del modelo de procesos de TI</t>
  </si>
  <si>
    <t>Prestación de servicios profesionales para la definición y acompañamiento en la institucionalización en EPM de procesos relacionados con la planeación de la tecnologías de información (TI), la gestión de la demanda y al diseño de servicios de TI  como parte del modelo de procesos de la organización informática de EPM y con base en las prácticas de ITILV3, COBIT y otros.</t>
  </si>
  <si>
    <t>CT2010- 0959-R1</t>
  </si>
  <si>
    <t>Prestación de servicios profesionales para completar la definición de los procesos de la Organización de Tecnología de Información de EPM y el acompañamiento para su institucionalización, tomando como marco de referencia los modelos de CMMI, RUP, PMI y otros modelos que se apliquen</t>
  </si>
  <si>
    <t>CT-2011-000687</t>
  </si>
  <si>
    <t>Contratación del suministro de licencias y soporte SAM de la herramienta Enterprise Architect versión 8.0 o superior Edición Corporativa y los servicios para el entrenamiento, configuración y puesta en operación de esta herramienta</t>
  </si>
  <si>
    <t>CT-2011-000772</t>
  </si>
  <si>
    <t>Gestión y mejoramiento del proceso AB&amp;S</t>
  </si>
  <si>
    <t>Prestación de los servicios SAM (soporte técnico, actualización y mantenimiento) y asistencia técnica del sistema NEON</t>
  </si>
  <si>
    <t>CT-2010-1276</t>
  </si>
  <si>
    <t>No. funcionalidades para mejora y optización del sistema</t>
  </si>
  <si>
    <t>Para el cumplimiento de esta meta se requiere la participación y asignación de recursos por parte de la STI y el contratista</t>
  </si>
  <si>
    <t xml:space="preserve">CT-2011-001278 Y CT-2011-001279 </t>
  </si>
  <si>
    <t>No. funcionalidades para mejoras en la consulta del sistema</t>
  </si>
  <si>
    <t>Cartografía de Antioquia</t>
  </si>
  <si>
    <t>Proyecto</t>
  </si>
  <si>
    <t xml:space="preserve">Obtención de productos de Cartografía Básica Digital del Departamento de Antioquia en escalas 1:2.000 para zonas urbanas, 1:5.000 para zonas rurales del Valle de Aburrá y el Oriente Cercano y 1:10.000 para todo el Departamento, de acuerdo con los modelos de datos y catálogos de objetos del IGAC. </t>
  </si>
  <si>
    <t>CT-800001038089</t>
  </si>
  <si>
    <t>Porcentaje de avance de las actividades del proyecto</t>
  </si>
  <si>
    <t xml:space="preserve">El proyecto se ejecuta a través del Convenio Interadministrativo Marco para la Generación de la Carotgrafía básica del Departamento de Antioquia, con la participación del Departamento de Antioquia, el Municipio de Medellín, el AMVA, el IDEA, ISAGEN, IGAC y EPM.
La contratación de la interventoría será por por valor de $844.69 millones, los $977,36 millones restantes deberá definirse su destinación por las entidades participantes del Convenio Interadministrativo Marco para la Generación de la Carotgrafía básica del Departamento de Antioquia. </t>
  </si>
  <si>
    <t>Prestación de servicios de interventoría técnica del Convenio Interadministrativo Marco para la generación de la cartografía básica del Departamento de Antioquia y sus Actas de Ejecución.</t>
  </si>
  <si>
    <t>PC-2011-001212 - Proceso de contratación de la interventoría sobre los productos de los procesos de fotocontrol, restitución, Modelo Digital del Terreno –MDT– y Ortofotomosaico, con un valor estimado de $844.69 millones.</t>
  </si>
  <si>
    <t>Marco Polo</t>
  </si>
  <si>
    <t>Planeación del proyecto en ejecución elaborada.
Procesos impactados rediseñados.F7
Proceso de planeación de obtención de direcciones rurales definido e iniciado.
Gobierno de la información de direcciones definido .
Contrato de desarrollo e información geográfica adjudicado.
Base de datos geográfica funcionando.
Funcionalidades de geocodificación y administración de la dirección implementadas.</t>
  </si>
  <si>
    <t>PC-2011-2470</t>
  </si>
  <si>
    <t>Porcentaje de esfuerzo del proyecto</t>
  </si>
  <si>
    <t>Evolución CRM a Microsoft Dynamics</t>
  </si>
  <si>
    <t>La prestación de servicios profesionales y de capacitación para apoyar la implantación de la plataforma de tecnología de información Microsoft Dynamics CRM en cualquiera de sus versiones y/o productos o actividades que se requiera para soportar  los procesos de  mercadeo, ventas, servicio al cliente y otros donde EPM decida utilizar plataforma, manteniendo la integración con los sistemas que conforman la arquitectura de aplicaciones de EPM, mediante los mecanismos y herramientas apropiadas.</t>
  </si>
  <si>
    <t>CT-2010-0144</t>
  </si>
  <si>
    <t>Avance cronograma</t>
  </si>
  <si>
    <t xml:space="preserve">Puesta en producción de las siguientes soluciones:
-  Cotizaciones, Pedidos y Peticiones para el portafolio Línea Preferencial de Grandes Clientes de Energía
-  Solicitudes de Atención &amp; Quejas Etapa I
-  Sincronización de Información de Clientes
-  Tutelas y Gestión Proactiva de la Facturación
100% del Diseño General de Pedidos y Peticiones
</t>
  </si>
  <si>
    <t>1.  En el valor total del proyecto se reportan los valores que fueron aprobados en Comité Institucional al momento de autorizar el inicio de ejecución de éste, pero se debe aclarar que en los próximos días se presentará ante el Comité Institucional una solicitud para ajustar el presupuesto del Programa, soportada en cambios de alcance y en cambios en las premisas que se usaron para hacer la presupuestación inicial.
2.  Se aplica la TRM que estaba vigente en el año 2009 (2.250,615)
3.  En este momento el proyecto se encuentra en una etapa de revisión  y  ajustes,  a la estrategia de ejecución y a las premisas que se tomaron como base para efectuar la planeación inicial.   Dado lo anterior, se tiene previsto que en los próximos días se semeterá al Comité Institucional para aprobación el plan de trabajo ajustado, el cual puede generar ajustes tanto en la meta física como en el presupuesto asignado el proyecto.</t>
  </si>
  <si>
    <t>1. Información de riesgos asociados a los grupos de interés de Empresas Públicas de Medellín y EPM Ituango.
2. Prestación de servicios para la administración del proceso de registro de proveedores y contratistas de EPM y servicios asociados para EPM y EPM ITUANGO.</t>
  </si>
  <si>
    <t>DIRECCION CONTROL INTERNO</t>
  </si>
  <si>
    <t>Proyecto para Normalizacion de la actividad de Auditoria</t>
  </si>
  <si>
    <t>Adopción plena de las Normas Internacionales de Auditoría e implemantación de herramientas informáticas de apoyo</t>
  </si>
  <si>
    <t>Adquisición e implementación de herramienta para soporte a la actividad de auditoría</t>
  </si>
  <si>
    <t>Adquisición e implementación de herramienta para minería de datos</t>
  </si>
  <si>
    <t>Evaluación proceso para certificación de la actividad con el IIA</t>
  </si>
  <si>
    <t>6. Fortalecer mecanismos de transparencia con los diversos grupos de interés de la Entidad</t>
  </si>
  <si>
    <t>Desarrollo de acciones tendientes al fortalecimiento de mecanismos internos, que promueven la divulgación, a los grupos de interés,  de la información y las acciones desarrolladas por EPM en cumplimiento de su gestión.</t>
  </si>
  <si>
    <t>“ Evolucionar la actual línea “Dígaselo al Gerente” hacia una línea de gestión ética que promueva el desarrollo de acciones de fortalecimiento de la transparencia, la ética y buen gobierno en EPM</t>
  </si>
  <si>
    <t>Desarrollar y poner en funcionamiento una herramienta tecnologica que apoye la divulgación y el control del calendario de obligaciones de las distintas dependencias de EPM con los entes externos de control</t>
  </si>
  <si>
    <t xml:space="preserve">Contratación para la medición del indicador de transparencia en EPM y filiales de Aguas
</t>
  </si>
  <si>
    <t>Divulgación del mecanismo de Interacción con entes externos</t>
  </si>
  <si>
    <t>Desarrollar Acciones para el mejoramiento del ambiente de control y la actividad de auditoria interna</t>
  </si>
  <si>
    <t>Movilizar las capacidades organizacionales,  mediante la alineación de los componentes asociados al colectivo y los demás elementos de tipo organizacional, para facilitar el desempeño del Grupo Empresarial de acuerdo con la estrategia definida,</t>
  </si>
  <si>
    <t>Encuentro de Control Interno</t>
  </si>
  <si>
    <t>Congreso Auditoría Sector Energético</t>
  </si>
  <si>
    <t>VALOR TOTAL DEL PROYECTO (En millones)</t>
  </si>
  <si>
    <t>Costo</t>
  </si>
  <si>
    <t>Incubación de Aguas Industriales</t>
  </si>
  <si>
    <t xml:space="preserve">Desarrollar una consultoría para evaluar y orientar a EPM en la implementacion del proyecto incubacion Aguas Industriales, con el fin de asegurar una adecuada 
</t>
  </si>
  <si>
    <t>Convenio de cooperación EPM-EAFIT 51000438012          PC 72096                               Acta No. 11</t>
  </si>
  <si>
    <t>%</t>
  </si>
  <si>
    <t>Prestación de servicios de laboratorio para ensayos microbiológicos y fisicoquímicos de agua, y la prestación de servicios de mantenimiento a sistemas de tratamiento de aguas.</t>
  </si>
  <si>
    <t>CT-2011-000021</t>
  </si>
  <si>
    <t>Días</t>
  </si>
  <si>
    <t>Prestación de servicios de análisis de laboratorio para ensayos microbiológicos y fisicoquímicos de agua y residuos sólidos.</t>
  </si>
  <si>
    <t>Prestación de servicios de mantenimiento a sistemas de tratamiento de agua.</t>
  </si>
  <si>
    <t>Acometidas con cobro</t>
  </si>
  <si>
    <t>Servicio de Acometidas</t>
  </si>
  <si>
    <t>Construcción</t>
  </si>
  <si>
    <t>CT-2010-1267
CT-2010-1268
CT-2010-1177
CT-2010-0869</t>
  </si>
  <si>
    <t>Un</t>
  </si>
  <si>
    <t>Corresponde a las acometidas que se hacen en los proyectos de redes</t>
  </si>
  <si>
    <t>Acometidas de HV</t>
  </si>
  <si>
    <t>Mantenimiento Licencias</t>
  </si>
  <si>
    <t>Servicios</t>
  </si>
  <si>
    <t>CT-2009-0367-R2</t>
  </si>
  <si>
    <t>Gl</t>
  </si>
  <si>
    <t>Na</t>
  </si>
  <si>
    <t>Contrato de Volumen y SAO)</t>
  </si>
  <si>
    <t xml:space="preserve">Mantenimiento redes (actividades comerciales operativas)
</t>
  </si>
  <si>
    <t>Distribución Secundaria y servicio de acometidas</t>
  </si>
  <si>
    <t>CT-2011-000217</t>
  </si>
  <si>
    <t xml:space="preserve">Suministro de químicos </t>
  </si>
  <si>
    <t>Potabilización</t>
  </si>
  <si>
    <t xml:space="preserve">Suministro </t>
  </si>
  <si>
    <t>CT-2009-0018-R1
CT-2009-0188-R1
CT-2009-0450-R1
CT-2011-000697
CT-2011-000534</t>
  </si>
  <si>
    <t>Toneladas</t>
  </si>
  <si>
    <t>Sulfato, polímero, óxido da calcio, acrbón activado, sal de mina, cal apagada, ect</t>
  </si>
  <si>
    <t>2012-03-04</t>
  </si>
  <si>
    <t xml:space="preserve">Mantenimiento redes y servicio de acometidas
</t>
  </si>
  <si>
    <t>CT-2011-000248
CT-2011-000249
CT-2011-000686</t>
  </si>
  <si>
    <t>La meta corresponde mantto en red y servicio de acometidas</t>
  </si>
  <si>
    <t xml:space="preserve">Acometidas con cobro y cambio de medidores
</t>
  </si>
  <si>
    <t>CT-10000135168-R1
CT-2010-1087
CT-2010-1088
CT-2011-001309</t>
  </si>
  <si>
    <t>La meta corresponde acometidas con cobro y cambio de medidores</t>
  </si>
  <si>
    <t>Acometidas con cobro y cambio de medidores</t>
  </si>
  <si>
    <t>Pavimentación</t>
  </si>
  <si>
    <t>CT-2011-000925</t>
  </si>
  <si>
    <t xml:space="preserve">Suministro de materiales para la distribución secundaria
</t>
  </si>
  <si>
    <t>CT-2009-0489R1
CT-2010-1286
CT-2010-1287
CT-2010-1289
CT-2010-1288
CT-2011-000941
CT-2011-000917
CT-2011-001306</t>
  </si>
  <si>
    <t>Incluye compra de medidores, llaves, collares, uniones, tapas y accesorios en general para la distribución secundaria</t>
  </si>
  <si>
    <t xml:space="preserve">Suministro de materiales para la distribución secundaria
</t>
  </si>
  <si>
    <t xml:space="preserve">Mantenimiento redes y servicio de acometidas
</t>
  </si>
  <si>
    <t>Recolección y transporte</t>
  </si>
  <si>
    <t>CT-2010-0790
CT-2010-0791
CT-2010-1111
CT-2011-000703
CT-2010-1110</t>
  </si>
  <si>
    <t>1657-1658</t>
  </si>
  <si>
    <t xml:space="preserve">Incluye reparaciones en red de alcantarillado, apiques, hundimientos, obstrucciones, reparación cámaras y sumideros, revisión de aliaderos y sumideros y reposición de acometidas de alcantarillado, estas actividades corresponden al plan operativo de cada uno de los contratos de mantenimiento </t>
  </si>
  <si>
    <t>Mantenimiento redes y servicio de acometidas</t>
  </si>
  <si>
    <t xml:space="preserve">Recolección de muestras de agua potable y agua residual </t>
  </si>
  <si>
    <t>Prestación de servicios</t>
  </si>
  <si>
    <t>CT-2011-000489</t>
  </si>
  <si>
    <t>Mantenimiento Distribución Primaria</t>
  </si>
  <si>
    <t>Distribución primaria</t>
  </si>
  <si>
    <t>Suministro de polímero catiónico</t>
  </si>
  <si>
    <t>Tratamiento aguas residuales</t>
  </si>
  <si>
    <t>Piloto prepago</t>
  </si>
  <si>
    <t>CT-2010-1324</t>
  </si>
  <si>
    <t>Gasto</t>
  </si>
  <si>
    <t>Verificar el inventario técnico</t>
  </si>
  <si>
    <t xml:space="preserve">Verificar el inventario técnico de las redes de recolección y transporte de  alcantarillado y hacer la identificación de los propietarios de las redes de acueducto y alcantarillado, el inventario físico y la valoración de equipos, herramientas, muebles, enseres y edificaciones de los laboratorios y despachos de la infraestructura operativa, la marcación de los equipos, la desagregación de la información en el sistema Oneworld y el reporte de los ajustes en la base geográfica de SIGMA, asociados con el sistema operado por la Gerencia Metropolitana Aguas de las Empresas Públicas de Medellín E.S.P.”, </t>
  </si>
  <si>
    <t>En tramite</t>
  </si>
  <si>
    <t>KM</t>
  </si>
  <si>
    <t>Laboratorios, despachos y centro de control</t>
  </si>
  <si>
    <t>Equipos</t>
  </si>
  <si>
    <t>9.4 más IVA</t>
  </si>
  <si>
    <t>Contratar la prestación de servicios de capacitación de un curso taller de prospectiva en el cual se desarrolle un ejercicio aplicado que permita obtener los elementos necesarios para definir una visión de largo plazo para la subgerencia Operación y Mantenimiento de la Dirección Aguas.</t>
  </si>
  <si>
    <t xml:space="preserve">PC-2011-008356
</t>
  </si>
  <si>
    <t>horas</t>
  </si>
  <si>
    <t xml:space="preserve">El contrato se adjudicó en noviembre de 2011 pero su ejecución y presupuesto es en 2012
</t>
  </si>
  <si>
    <t xml:space="preserve">Gestión Integral del Negocio de Riego
(Fase II)
</t>
  </si>
  <si>
    <t xml:space="preserve">Estructurar modelos de negocio que le permitan a EPM incursionar en el mercado como proveedor de productos y servicios de riego en Colombia y Perú.
</t>
  </si>
  <si>
    <t>Marzo</t>
  </si>
  <si>
    <t>Octubre</t>
  </si>
  <si>
    <t>Este proyecto aún está en la etapa de estructuración de la contratación por lo que no se tienen definidos la cantidad de entregables como meta física y las fechas de inicio y de finalización son estimadas</t>
  </si>
  <si>
    <t xml:space="preserve">Georeferenciación Mundo del Agua -GEMA-
</t>
  </si>
  <si>
    <t xml:space="preserve">Implementar  plataforma informática geo-referenciada, para la administración de la información relacionada con los recursos hídricos en América Latina. 
</t>
  </si>
  <si>
    <t>Abril</t>
  </si>
  <si>
    <t>Junio</t>
  </si>
  <si>
    <t>Este presupuesto corresponde a la compra de información cartografica del proyecto</t>
  </si>
  <si>
    <t xml:space="preserve">Gestión de los residuos sólidos orgánicos de la Central Mayorista de Antioquia
</t>
  </si>
  <si>
    <t xml:space="preserve">Exploración de iniciativas, generación y creación de soluciones prácticas, para el “Aprovechamiento de los residuos sólidos orgánicos – coproductos generados en la CMA”. 
</t>
  </si>
  <si>
    <t>Convenio marco No. 51001040283-PC78347 acta de trabajo No. 15</t>
  </si>
  <si>
    <t>Febrero</t>
  </si>
  <si>
    <t>Diciembre</t>
  </si>
  <si>
    <t xml:space="preserve">Programa Publicaciones del GEN Aguas
</t>
  </si>
  <si>
    <t xml:space="preserve">Poner en funcionamiento un programa permanente que materialice la publicación y divulgación de material de tipo técnico, científico y administrativo relacionado con el Ciclo del Agua.
</t>
  </si>
  <si>
    <t>Libros editados</t>
  </si>
  <si>
    <t xml:space="preserve">Este proyecto aún está en la etapa de estructuración de la contratación por lo que no se tienen definidos la cantidad de entregables como meta física y las fechas de inicio y de finalización son estimadas
</t>
  </si>
  <si>
    <t>Hacia un nuevo sector de aguas como consecuencia del ahorro en los consumos residenciales
(Fase I)</t>
  </si>
  <si>
    <t xml:space="preserve"> Identificar los cambios para que EPM se alinee con la tendencia  del ahorro en los niveles de consumo, para lograr beneficios ambientales, que aseguren el crecimiento y la sostenibilidad.</t>
  </si>
  <si>
    <t>CT-2011-001106</t>
  </si>
  <si>
    <t xml:space="preserve">Desarrollo de dispositivos y equipos para procesos operativos y comerciales (Fase II)
</t>
  </si>
  <si>
    <t xml:space="preserve">Evaluar, adaptar y desarrollar algunos de los dispositivos y equipos electrónicos o mecatrónicos identificados en la fase I del proyecto. 
</t>
  </si>
  <si>
    <t xml:space="preserve">Convenio marco No. 51000437960PC71127 acta de trabajo No. 16
</t>
  </si>
  <si>
    <t>informe</t>
  </si>
  <si>
    <t>Inversión</t>
  </si>
  <si>
    <t>Estudio de aguas subterráneas</t>
  </si>
  <si>
    <t>Estudios</t>
  </si>
  <si>
    <t>Acta N° 6  Convenio Marco 50001040283</t>
  </si>
  <si>
    <t>Total</t>
  </si>
  <si>
    <t>Proyecto expansión Envigado Parte Alta</t>
  </si>
  <si>
    <t>Construcción e instalación</t>
  </si>
  <si>
    <t>Proyecto expansión Llanaditas</t>
  </si>
  <si>
    <t>CT-2011-000911</t>
  </si>
  <si>
    <t>Proyecto expansión Sabaneta</t>
  </si>
  <si>
    <t>Adquisición de equipos</t>
  </si>
  <si>
    <t>CT-2011-000927</t>
  </si>
  <si>
    <t>1611-5060</t>
  </si>
  <si>
    <t>Interventoría</t>
  </si>
  <si>
    <t>Proyecto expansión Valle de San Nicolás</t>
  </si>
  <si>
    <t>Largo</t>
  </si>
  <si>
    <t>Pavimentos</t>
  </si>
  <si>
    <t>Corto</t>
  </si>
  <si>
    <t>CT-2011-001209</t>
  </si>
  <si>
    <t>Automatización portales</t>
  </si>
  <si>
    <t>Montaje equipos</t>
  </si>
  <si>
    <t>1611-7260</t>
  </si>
  <si>
    <t>Continuidad del Sistema La Fe</t>
  </si>
  <si>
    <t>Continuidad sistema Piedras Blancas</t>
  </si>
  <si>
    <t>CT-2011-000968</t>
  </si>
  <si>
    <t>M</t>
  </si>
  <si>
    <t>Modernización tanques de almacenamiento de agua potable</t>
  </si>
  <si>
    <t>Macromedición</t>
  </si>
  <si>
    <t>CT-2011-000627</t>
  </si>
  <si>
    <t>CT-2011-001069</t>
  </si>
  <si>
    <t>Proyecto modernización y reposición de las redes de distribución primaria</t>
  </si>
  <si>
    <t>CT-2011-000669
CT-2011-000969</t>
  </si>
  <si>
    <t>Reposición y modernización equipos de bombeo</t>
  </si>
  <si>
    <t>Sistema Telemetría</t>
  </si>
  <si>
    <t>Construcción y reparación redes</t>
  </si>
  <si>
    <t>Convenio con Municipios</t>
  </si>
  <si>
    <t>Proyecto Centro Parrilla</t>
  </si>
  <si>
    <t>Diseños</t>
  </si>
  <si>
    <t>CT-2011-000533 
CT-2011-000532</t>
  </si>
  <si>
    <t>Proyecto circuito Nutibara</t>
  </si>
  <si>
    <t>CT-2010-0869
CT-2010-0868</t>
  </si>
  <si>
    <t>CT-2010-1119</t>
  </si>
  <si>
    <t>Proyecto modernización operativa</t>
  </si>
  <si>
    <t>Consultoría</t>
  </si>
  <si>
    <t>CT-2011-000048</t>
  </si>
  <si>
    <t>Proyecto Santa Elena</t>
  </si>
  <si>
    <t>CT-2010-1267
CT-2010-1268</t>
  </si>
  <si>
    <t>CT-2011-000073</t>
  </si>
  <si>
    <t>Modernización de la planta La Ayurá</t>
  </si>
  <si>
    <t>Modernización de sistemas de filtración</t>
  </si>
  <si>
    <t>Modernización plantas de potabilización</t>
  </si>
  <si>
    <t>Reposición equipos laboratorio soporte</t>
  </si>
  <si>
    <t>Sedimentadores de Manantiales (terminado en vigencia 2011)</t>
  </si>
  <si>
    <t>Contrato terminado</t>
  </si>
  <si>
    <t>Sistema de lodos</t>
  </si>
  <si>
    <t>Programa habilitación viviendas</t>
  </si>
  <si>
    <t>Inversión administrativa acueducto</t>
  </si>
  <si>
    <t>(en blanco)</t>
  </si>
  <si>
    <t>TOTAL ACUEDUCTO</t>
  </si>
  <si>
    <t>Equipos nuevos de alcantarillado</t>
  </si>
  <si>
    <t>1657-5060</t>
  </si>
  <si>
    <t>Proyecto implementación cámaras del interceptor</t>
  </si>
  <si>
    <t>Proyecto inspección de redes</t>
  </si>
  <si>
    <t>Inspección de redes</t>
  </si>
  <si>
    <t>CT-2011-000703</t>
  </si>
  <si>
    <t>Proyecto Modelación</t>
  </si>
  <si>
    <t>Proyecto modernización equipos San Fernando</t>
  </si>
  <si>
    <t>CT-2011-000664
CT-2011-000777</t>
  </si>
  <si>
    <t>1663-5060</t>
  </si>
  <si>
    <t>Proyecto Expansión Valle de San Nicolás</t>
  </si>
  <si>
    <t>Proyecto cuenca El Hato</t>
  </si>
  <si>
    <t>Proyecto cuenca La Seca</t>
  </si>
  <si>
    <t>Proyecto cuenca La Señorita</t>
  </si>
  <si>
    <t>Proyecto cuencas Norte</t>
  </si>
  <si>
    <t>CT-2010-1177</t>
  </si>
  <si>
    <t>Proyecto sector Doce de Octubre</t>
  </si>
  <si>
    <t>Proyectos cuencas Asomadera y Loreto</t>
  </si>
  <si>
    <t>Proyecto cuenca Doña María (Manguala-Cabuyala)</t>
  </si>
  <si>
    <t>CT-2010-0790
CT-2010-0791
CT-2010-1111
CT-2010-1110</t>
  </si>
  <si>
    <t>Reparación de colectores</t>
  </si>
  <si>
    <t>Formulación Plan Maestro Drenaje Urbano</t>
  </si>
  <si>
    <t>Programa Habilitación Viviendas</t>
  </si>
  <si>
    <t>Inversión administrativa alcantarillado</t>
  </si>
  <si>
    <t>TOTAL AGUAS RESIDUALES</t>
  </si>
  <si>
    <t>TOTAL INVERSIONES AGUAS</t>
  </si>
  <si>
    <t>EMPRESAS PUBLICAS DE MEDELLIN</t>
  </si>
  <si>
    <t>PLAN DE ACCION 2012 COSTO Y GASTO</t>
  </si>
  <si>
    <t>MTTO GUADALUPE PORCE</t>
  </si>
  <si>
    <t>Mantenimiento preventivo y Correctivo del Ascensor de La Central Hidroeléctrica Porce II</t>
  </si>
  <si>
    <t>UN MTTO/MES</t>
  </si>
  <si>
    <t>SERV. APOYO GUADALUPE PORCE</t>
  </si>
  <si>
    <t>Participación conjunta entre Empresas Públicas de Medellín y el Municipio de Guadalupe para llevar a cabo actividades integrales de sensibilización</t>
  </si>
  <si>
    <t>SERVICIO/DIA</t>
  </si>
  <si>
    <t>Suministro e instalación de anclajes para realizar el mantenimiento en las diferentes plantas (Troneras, Guadalupe III, Guadalupe IV, Porce II)</t>
  </si>
  <si>
    <t>OBRA/MES</t>
  </si>
  <si>
    <t>Mantenimiento preventivo galerías Porce II del Area Guadalupe</t>
  </si>
  <si>
    <t>CT-2010-0646</t>
  </si>
  <si>
    <t>MTTO/MES</t>
  </si>
  <si>
    <t>Labores de rocería, sostenimiento de prados, enrocados, zonas encascajadas, taludes y labores varias en el sector inferior del Area Guadalupe</t>
  </si>
  <si>
    <t>CT-2010-1046</t>
  </si>
  <si>
    <t>M2</t>
  </si>
  <si>
    <t>Labores de rocería, sostenimiento de prados, enrocados, zonas encascajadas, taludes y labores varias en las plantas de generación de Guadalupe IV y Porce II del Area Guadalupe</t>
  </si>
  <si>
    <t>CT-2010-1299</t>
  </si>
  <si>
    <t>Actividades para el aseo y labores varias de limpieza en plantas y subestaciones del Área Guadalupe</t>
  </si>
  <si>
    <t>CT-2009-0665</t>
  </si>
  <si>
    <t>SERVICIO/MES</t>
  </si>
  <si>
    <t>36,978867,5</t>
  </si>
  <si>
    <t>184,894337,5</t>
  </si>
  <si>
    <t>Trabajos de contención en el talud de la vía de ingreso a casa de máquinas Porce II</t>
  </si>
  <si>
    <t>Sostenimiento instalaciones urbanización y oficinas El Tablón</t>
  </si>
  <si>
    <t>OPERACIÓN GUADALUPE PORCE</t>
  </si>
  <si>
    <t>Reparación válvula de alivio unidad 3 de Guadalupe 4</t>
  </si>
  <si>
    <t>Ejecución de actividades de mantenimiento a los equipos electromecánicos de las centrales de generación adscritas al Área Guadalupe</t>
  </si>
  <si>
    <t>CT-2011-000700</t>
  </si>
  <si>
    <t>mantenimiento de los conmutadores telefónicos de las centrales de la Subgerencia Operación Generación y área Operación Transmisión</t>
  </si>
  <si>
    <t>CT-2011-000800</t>
  </si>
  <si>
    <t>MTTO/TRIMESTRE</t>
  </si>
  <si>
    <t>prestación de asesorías nutricionales en las áreas Guadalupe, Guatapé y La Sierra</t>
  </si>
  <si>
    <t>CT-2011-000504</t>
  </si>
  <si>
    <t>toma muestras microbiológicas en las centrales de Guadalupe, Guatapé y La Sierra</t>
  </si>
  <si>
    <t>Mantenimiento de vías del área Guadalupe</t>
  </si>
  <si>
    <t>CT-2010-1041</t>
  </si>
  <si>
    <t>Contrato de inspección y verificación operación teleférico, accesorios y repuestos</t>
  </si>
  <si>
    <t>Prestación de servicios de aseo en los campamentos y áreas sociales del Area Guadalupe</t>
  </si>
  <si>
    <t>CT-2010-0981</t>
  </si>
  <si>
    <t>Prestación de servicios de preparación, suministro de alimentos y aseo de áreas de producción y comedores en el área Guadalupe</t>
  </si>
  <si>
    <t>CT-2010-0960</t>
  </si>
  <si>
    <t>Mantenimiento acueductos y redes Hidrosanitarias del Area Guadalupe</t>
  </si>
  <si>
    <t>CT-2011-000980</t>
  </si>
  <si>
    <t>Labores de rocería, sostenimiento de prados, enrocados, zonas encascajadas, taludes y labores varias en el sector superior el Salto del Área Guadalupe</t>
  </si>
  <si>
    <t>CT-2010-0380</t>
  </si>
  <si>
    <t>Labores de rocería, desyerbe y mantenimiento en las minicentrales Pajarito y Dolores del area Guadalupe</t>
  </si>
  <si>
    <t>CT-2011-000469</t>
  </si>
  <si>
    <t>201/07/20</t>
  </si>
  <si>
    <t>Pintura en muros, cielos, techos, pasamanos, ventanas, rejas, canoas y otros elementos en el campamento Los Cedros y demás instalaciones del Area Guadalupe</t>
  </si>
  <si>
    <t>CT-2009-0290</t>
  </si>
  <si>
    <t>Trabajos de poda y descope de arboles cercanos a los circuitos de distribución eléctrica que alimentan los servicios auxiliares de las centrales de generación adscritas al Area Guadalupe</t>
  </si>
  <si>
    <t>CT-2010-0265</t>
  </si>
  <si>
    <t>Suministro y aplicación de fumigantes para la desratización, desinsectación y control de abejas y otras plagas en las plantas de generación, instalaciones y edificaciones del Área Guadalupe</t>
  </si>
  <si>
    <t>CT-2009-0214</t>
  </si>
  <si>
    <t>RONDA</t>
  </si>
  <si>
    <t>Reacondicionamiento del sistema de servicios auxiliares 208 VAC de G4</t>
  </si>
  <si>
    <t>Embarcaderos para Troneras, Porce II y Miraflores</t>
  </si>
  <si>
    <t>Serpentín cojinete Turbina Unidad 3 G3</t>
  </si>
  <si>
    <t>Cambio cable tensor y contra cable teleférico</t>
  </si>
  <si>
    <t>Sistema extracción de lodos GIV</t>
  </si>
  <si>
    <t>Reguladores de Velocidad P2</t>
  </si>
  <si>
    <t>Dializador de aceite</t>
  </si>
  <si>
    <t>Contrato mantenimiento sistema contra incendio</t>
  </si>
  <si>
    <t xml:space="preserve">CT-2011-000993 </t>
  </si>
  <si>
    <t>Recolección, disposición final de basuras y labores varias en el relleno sanitario la frijolera del area Guadalupe</t>
  </si>
  <si>
    <t>CT-2011-001026</t>
  </si>
  <si>
    <t>MANTENIMIENTO AREA LA SIERRA</t>
  </si>
  <si>
    <t>Adquisición Reductores valvulas AUMA para la Central Termoelectrica La Sierra</t>
  </si>
  <si>
    <t>LOTE</t>
  </si>
  <si>
    <t>Adquisición Tornillos válvulas IP-HP-LP, Central Termoelectrica La Sierra.</t>
  </si>
  <si>
    <t>Adquisición de Filtros aire unidades de gas de la Central Termoeléctrica La Sierra</t>
  </si>
  <si>
    <t xml:space="preserve">Calibración, mantenimiento y suministro de repuestos para las válvulas de seguridad de la Central Termoeléctrica la Sierra. </t>
  </si>
  <si>
    <t>Inspección y Mantenimiento de las válvulas de control - Central Termoeléctrica La Sierra</t>
  </si>
  <si>
    <t>MTTO</t>
  </si>
  <si>
    <t>Inspección de calderas Central Termoelectrica La Sierra.</t>
  </si>
  <si>
    <t>INSPECCIÓN</t>
  </si>
  <si>
    <t>Ejecución de las modificaciones y mejoras  propuestas al sistema soporte de las tuberías de vapor de la U3 - Central Termoeléctrica La Sierra.</t>
  </si>
  <si>
    <t>Adquisición de Tarjetas, fuentes y elementos de repuesto para el Mark V- Central Termoelectrica La Sierra</t>
  </si>
  <si>
    <t>Repuestos de instrumentación para las Turbinas GE termocuplas y medidores de presión</t>
  </si>
  <si>
    <t>Buje de alta tensión 345 Kv del transformador de repuesto - Central Termoeléctrica La Sierra</t>
  </si>
  <si>
    <t>Inspección Hot Gas Past (Ruta de gases calientes ) -  Central Termoelectrica La Sierra</t>
  </si>
  <si>
    <t xml:space="preserve">Compra de tuberías de alta presión para los recuperadores HRSG 1 y 2 de La </t>
  </si>
  <si>
    <t>Compra de repuestos para los modulos de combustible líquido, de las unidades de generación 1 y 2 de La Central Termoeléctrica La Sierra.</t>
  </si>
  <si>
    <t>Prestación de servicio de aseo, limpieza y dragado de bocatoma, mantenimiento menor a edificaciones, mantenimiento de mallas y cercos perimetrales, mantenimiento de jardinería, disposición de residuos y siembra de árboles dentro de las instalaciones de la</t>
  </si>
  <si>
    <t>CT-2009-0424</t>
  </si>
  <si>
    <t>Ejecucion de actividades de mantenimiento a equipos electromecánicos de la Central Termoeléctrica La Sierra</t>
  </si>
  <si>
    <t>CT-2011-000701</t>
  </si>
  <si>
    <t>Servicio de alojamiento, alimentación y arreglo de ropas para el personal que labore en el Área La Sierra.</t>
  </si>
  <si>
    <t>Servicio de inspección, diagnostico, limpieza, y reparación (reacondicionamiento), pruebas y suministro de partes, de las piezas principales del sistema de combustión,  alabes móviles de primera etapa y fijos de segunda etapa para la unidad 2 de Termosierra</t>
  </si>
  <si>
    <t>CT-2011-001056</t>
  </si>
  <si>
    <t>SERV. APOYO PORCE III</t>
  </si>
  <si>
    <t>Mantenimiento de instalaciones, edificaciones y obras civiles del Área Porce III.</t>
  </si>
  <si>
    <t>Trabajos de Poda y descope de árboles cercanos a los circuitos de distribución eléctrica del Área Porce III</t>
  </si>
  <si>
    <t xml:space="preserve">Prestación de servicios de preparación, suministro de alimentos y aseo de espacios de producción y comedores en el área Porce III. </t>
  </si>
  <si>
    <t>Labores de rocería, limpieza, sostto prados y  enrocados y mantenimiento de obras de drenaje en la Presa y depósitos de materiales del Área Porce III.</t>
  </si>
  <si>
    <t xml:space="preserve">Labores de aseo en campamentos, plantas, subestaciones y frentes de trabajo Porce III
</t>
  </si>
  <si>
    <t>AREA PORCE III</t>
  </si>
  <si>
    <t xml:space="preserve">Suministro e instalación de Líneas de vida y anclajes  requeridos para la realizar los mantenimientos en el Área Porce III. </t>
  </si>
  <si>
    <t>MANTENIMIENTO PORCE III</t>
  </si>
  <si>
    <t>Aseo y labores varias de limpieza en las plantas, subestaciones y frentes de trabajo del Área Porce III.</t>
  </si>
  <si>
    <t>Adqusición de Soldadores de 500 Amp</t>
  </si>
  <si>
    <t>Adquisición de Maleta de inyección de corrientes y tensiones</t>
  </si>
  <si>
    <t xml:space="preserve">Adquisición de Equipo de alineación laser para bombas </t>
  </si>
  <si>
    <t>Adquisición de UPSs, bancos de baterias y cargadores de baterias. Incleuyendo instalación y puesta en servicio.</t>
  </si>
  <si>
    <t>SISTEMA</t>
  </si>
  <si>
    <t>OPERACIÓN PROCE III</t>
  </si>
  <si>
    <t>Ejecución  de actividades de mantenimiento a equipos electromecánicos de la central de generación de energía eléctrica Porce 3</t>
  </si>
  <si>
    <t>CT-2011-000495</t>
  </si>
  <si>
    <t>Labores de rocería, sostenimiento de prados, enrocados, zonas encascajadas, taludes y labores de mantenimiento de la presa Porce III del Area Guadalupe</t>
  </si>
  <si>
    <t>CT-2011-000140</t>
  </si>
  <si>
    <t>SERVICIOS/MES</t>
  </si>
  <si>
    <t>Aseo y labores varias de limpieza en las plantas y subestaciones  de la central Porce 3 del Área Guadalupe.</t>
  </si>
  <si>
    <t>CT-2010-1412</t>
  </si>
  <si>
    <t>Mantenimiento ascensor casa de máquinas Porce III</t>
  </si>
  <si>
    <t>CT-29990337023</t>
  </si>
  <si>
    <t>Sistema contraincendio Porce III</t>
  </si>
  <si>
    <t>CT-29990329557</t>
  </si>
  <si>
    <t>Sistema de aire acondicionado y ventilación Porce III</t>
  </si>
  <si>
    <t>CT-29990329563</t>
  </si>
  <si>
    <t>PARQUE EOLICO</t>
  </si>
  <si>
    <t xml:space="preserve">Servicio de alojamiento, suministro de alimentación y arreglo de ropas en el Cabo de la Vela-Guajira- para el personal que labora en el Parque Eólico Jepirachi de Empresas Públicas de Medellín._x000D_
_x000D_
</t>
  </si>
  <si>
    <t xml:space="preserve">Servicio de un (1) alojamiento, suministro de alimentación, ubicado en el paraje Kasiwolin, para el personal que labora en el Parque Eólico Jepírachi, en el municipio de Uribía, Departamento de la Guajira._x000D_
_x000D_
</t>
  </si>
  <si>
    <t>Servicio de  transporte de personal y carga en el Departamento de la Guajira para el Parque Eólico Jepírachi</t>
  </si>
  <si>
    <t>Servicios de limpieza, aseo y fumigación de las instalaciones en el edificio de la subestación y bodega; servicios de tratamiento de aguas residuales y pozo séptico; y recolección, transporte y disposición final de basuras en el Parque Eólico Jepírachi</t>
  </si>
  <si>
    <t>Mantenimiento electromecanico y servicios varios en equipos e instalaciones del Parque Eólico Jepirachi</t>
  </si>
  <si>
    <t>Servicio de asesoría tecnica en el montaje y desmontaje de Cajas Multiplicadoras del Parque Eólico Jepirachi</t>
  </si>
  <si>
    <t>Prestación del servicio de comunicaciones vía satélite entre el edificio de la subestación Colombia ubicado en la ciudad de Medellín y el edificio de la subestación del Parque Eólico ubicado en el municipio de Uribia, Departamento de la Guajira.</t>
  </si>
  <si>
    <t>Lavado general de los 60m de la torre y góndola con agua potable, aplicación de tintas penetrantes en las soldaduras afectadas y medición por ultrasonido, desengrase de las áreas contaminadas, limpieza SSPC SP-03 de las áreas afectadas por la corrosión, suministro y aplicación de la cantidad de cinta WAS TAPE, para tres torres aerogeneradores Parque Eólico Jepirachi</t>
  </si>
  <si>
    <t>Servicio de arrendamiento de gruas para montaje y desmontaje de cajas multiplicadoras del Parque Eólico Jepirachi</t>
  </si>
  <si>
    <t>MANTENIMIENTO AREA METROPOLITANA</t>
  </si>
  <si>
    <t xml:space="preserve">Tratamiento térmico de alivio de tensiones para un rodete tipo Pelton de la Central Hidroeléctrica La Tasajera_x000D_
_x000D_
</t>
  </si>
  <si>
    <t>Prestación de los servicios de apoyo en las actividades de operación, mantenimientos, aseo y limpieza de las instalaciones de las minicentrales de generación de energía del Area Metropolitana y Otras</t>
  </si>
  <si>
    <t xml:space="preserve">Juego de anillos de desgaste (liners), arandelas, bujes, retenedores, sellos móviles y fijos Central Hidroeléctrica la Herradura </t>
  </si>
  <si>
    <t>Adquisicion de caja multiplicadora y lote de repuestos electromecanicos para aerogeneradores del Parque Eólico Jepirachi</t>
  </si>
  <si>
    <t xml:space="preserve">Adquisicion de sistema de aire acondicionado para subestacion Central Tasajera </t>
  </si>
  <si>
    <t xml:space="preserve">Adquisicion de equipos para sistema de alertas del Rio Medellín descarga central Tasajera </t>
  </si>
  <si>
    <t>Adquisión juego de liners, alabaes, cubiertas y sellos para central hidroelectrica de Caracolí</t>
  </si>
  <si>
    <t>Plan maesto sistema contraincendio equipos Parque Eólico Jepirachi</t>
  </si>
  <si>
    <t>Adquisición polipasto eléctrico cadena eslavonada dispositivo montaje y transporte de materiales y repuepuetos para el Parque eólico Jepirachi</t>
  </si>
  <si>
    <t>Reabastecimiento pastas de freno para aerogeneradores Parque Eólico Jepirachi</t>
  </si>
  <si>
    <t>Adquisición turbina tipo pelton para la central hidroeléctrica de Caracolí</t>
  </si>
  <si>
    <t xml:space="preserve">Adquisición seccionador servicios auxiliares unidad 2 de la central hidroeléctrica Tasajera </t>
  </si>
  <si>
    <t>Ádquisición engranajes, rodamientos y ejes para caja multiplicadora Parque Eólico Jepirachi</t>
  </si>
  <si>
    <t xml:space="preserve">Ejecucion de actividades de mantenimiento de equipos electromecanicos de las centrales de energia adscritas al Area Metropolitana y Otras </t>
  </si>
  <si>
    <t>CT-2009-0074-R2</t>
  </si>
  <si>
    <t xml:space="preserve">Ejecucion de actividades de maantenimiento de equipos electromecanicos de las centrales de energia adscritas al Area Metropolitana y Otras </t>
  </si>
  <si>
    <t>CT-2011-000774</t>
  </si>
  <si>
    <t>CT-2010-0347 R1</t>
  </si>
  <si>
    <t xml:space="preserve">Servicio de un (1) alojamiento, suministro de alimentación, ubicado en el paraje Kasiwolin, para el personal que labora en el Parque Eólico Jepírachi, en el municipio de Uribía, Departamento de la Guajira.
</t>
  </si>
  <si>
    <t>CT-2009-0267 R2</t>
  </si>
  <si>
    <t>Servicios de limpieza y aseo de las instalaciones en el edificio de la subestación y bodega; mantenimiento de equipos electromecánicos; servicios varios; y recolección, transporte y disposición final de basuras en el Parque Eólico Jepírachi</t>
  </si>
  <si>
    <t>CT-2010-0871 R1</t>
  </si>
  <si>
    <t>Prestación del servicio de transporte fijo del personal que labora en el Parque Eólico Jepírachi</t>
  </si>
  <si>
    <t>CT-2010-0848 R1</t>
  </si>
  <si>
    <t>Conexión del Parque de Generación de Energía Eólica Jepirachi de propiedad de EEPPM al Sistema Interconectado Nacional SIN, a través de la línea LN742 a 110 Kv propiedad de Carbones del Cerrejón Limited.</t>
  </si>
  <si>
    <t>CT-2011-000015</t>
  </si>
  <si>
    <t>Servicio de comunicaciones vía satélite entre el edificio de la subestación Colombia ubicado en la ciudad de Medellín y el edificio de la subestación del Parque Eólico ubicado en el municipio de Uribia, Departamento de la Guajira.</t>
  </si>
  <si>
    <t>CT-2009-0485-R2</t>
  </si>
  <si>
    <t>MANTENIMIENTO GUATAPÉ</t>
  </si>
  <si>
    <t>Adquisición compuertas almenara aguas abajo Playas</t>
  </si>
  <si>
    <t>Reposición  sistema de control casa de maquinas y subestación Guatapé</t>
  </si>
  <si>
    <t>Adquisición de bujes pasa muros Guatapé</t>
  </si>
  <si>
    <t>JUEGO</t>
  </si>
  <si>
    <t>Reposicion HMI casa máquinas Guatapé</t>
  </si>
  <si>
    <t>Adquisición de bombas para sistema de agua cruda aire acondicionado casa maquinas Guatapé.</t>
  </si>
  <si>
    <t>Estructurar un procedimiento de reparación de rodetes tipo Francis de la Central de Playas.</t>
  </si>
  <si>
    <t>Suministro e instalación de acometidas de alimentación tableros de distribución alumbrado y tomas casa de maquinas Guatapé.</t>
  </si>
  <si>
    <t>Suministro e instalación de puntos de anclaje para líneas de vida en casa de maquinas Guatapé.</t>
  </si>
  <si>
    <t>SERVICIO DE APOYO GUATAPÉ</t>
  </si>
  <si>
    <t>Limpieza y mantenimiento de pozos sépticos en el Área Guatapé</t>
  </si>
  <si>
    <t>Sostenimiento de prados, enrocados, zonas encascajadas, taludes y rocerías varias en la central hidroeléctrica de Playas del Área Guatapé</t>
  </si>
  <si>
    <t>Prestación de servicios de plomería, de coteros, ayudante de albañilería, recolección y disposición final de basuras y labores varias en y para el Área Guatapé</t>
  </si>
  <si>
    <t>Sostenimiento de prados, enrocados, zonas encascajadas, taludes, limpieza de cunetas y obras, y rocerías varias en la presa Santa Rita y zonas bajas, en los campamentos y zonas administrativas de la central hidroeléctrica de Guatapé</t>
  </si>
  <si>
    <t>Mantenimiento de vías internas del Área Guatapé:  Cardal, Cumbre, Cámara de válvulas, presa Santa Rita y vía colectora.</t>
  </si>
  <si>
    <t>Prestación de los servicios de preparación, suministro de alimentos y aseo de areas de producción y comedores en instalaciones del Área Guatapé</t>
  </si>
  <si>
    <t>Prestación de servicios de aseo en los campamentos y areas sociales del Área Guatapé</t>
  </si>
  <si>
    <t>MTTO LA SIERRA</t>
  </si>
  <si>
    <t>Cambio tejas casa de máquinas (Techo), impermeabilización oficinas mantenimiento de la Central Termoeléctrica La Sierra</t>
  </si>
  <si>
    <t>Diseño, fabricación, pruebas y suministro de bobinas para los devanados de armadura de la unidades de generación de ciclo simple, Central Termoeléctrica La Sierra</t>
  </si>
  <si>
    <t>Inspección y pruebas del núcleo magnético del generador de la unidad de generación 2, e inspección, ajuste y balanceo dinámico del rotor del generador</t>
  </si>
  <si>
    <t>MTTO AREA GUADALUPE</t>
  </si>
  <si>
    <t>Diseño, fabricación, pruebas y suministro de bobinas para los devanados de armadura de la unidades de generación de la Central Hidroeléctrica Guadalupe IV</t>
  </si>
  <si>
    <t>MTT GUATAPE</t>
  </si>
  <si>
    <t>Diseño, fabricación, pruebas y suministro de bobinas para el devanado de campo de las unidades de generación de la Central Hidroeléctrica Playas</t>
  </si>
  <si>
    <t>Campañas</t>
  </si>
  <si>
    <t>Suministro de cocinetas de mesa todo a gas con dos (2) quemadores a gas natural</t>
  </si>
  <si>
    <t>2011-000156</t>
  </si>
  <si>
    <t>Vinculación a Concentra</t>
  </si>
  <si>
    <t>Establecer los términos y condiciones bajo los cuales la fuente de información entregará y/o remitirá a Concentra la información y Concentra dará acceso a la información de la fuente de información.</t>
  </si>
  <si>
    <t>Prestación de servicios de energía eléctrica</t>
  </si>
  <si>
    <t>Modernización del sistema Antiincendio edificio AOT</t>
  </si>
  <si>
    <t>Cubierta cancha polideportiva</t>
  </si>
  <si>
    <t>Obras civiles en el Edificio AOT</t>
  </si>
  <si>
    <t>Tecnologia de información</t>
  </si>
  <si>
    <t>Recursos propios</t>
  </si>
  <si>
    <t>Prestación de servicios para el desarrollo de software, soporte de aplicaciones, conversión y carga de datos, transferencia de conocimiento y atención de incidentes para aplicaciones SIG (Sistemas de Información Geográfica) bajo plataformas ESRI y AUTODESK</t>
  </si>
  <si>
    <t>PC-2011-007446</t>
  </si>
  <si>
    <t>2930, 1930</t>
  </si>
  <si>
    <t>UNIDAD INFORMATICA ENERGIA Y AGUAS</t>
  </si>
  <si>
    <t>la prestación de servicios para apoyar el proceso de Desarrollo del Servicio de Tecnología de Información –TI- basado en prácticas CMMI (Ingeniería de Requisitos, Análisis de la Solución y Diseño y Construcción,  con su correspondiente aseguramiento y control de calidad) en LAS EMPRESAS</t>
  </si>
  <si>
    <t>CT-201100104 IG ,  CT-2011-000104  IBM</t>
  </si>
  <si>
    <t>Abril 27 de 2011</t>
  </si>
  <si>
    <t>Abril 27 de 2014</t>
  </si>
  <si>
    <t>9035 y 9045</t>
  </si>
  <si>
    <t>UN.SOL.INFORMATICAS DE LA INST.  Y  UN.SOLUC.INFORMATICAS DEL NEGO</t>
  </si>
  <si>
    <t>Dic 16/2010</t>
  </si>
  <si>
    <t>Dic 15/2013</t>
  </si>
  <si>
    <t>UN.SOL.INFRAEST.Y SOPORTE SS</t>
  </si>
  <si>
    <t xml:space="preserve">A traves de la Subdirección de TI se tiene el contrato para atender los requerimientos de  todo EPM sobre licenciamiento de Microsoft </t>
  </si>
  <si>
    <t>Servicios de Mesa de Ayuda, Soporte a los procesos de Tecnología de Información –TI-, Arrendamiento operativo –Renting- de infraestructura de usuario final y servicios profesionales relacionados.</t>
  </si>
  <si>
    <t>CT-30000426724-A49</t>
  </si>
  <si>
    <t>Sep 20/2010</t>
  </si>
  <si>
    <t>Sept 20/2013</t>
  </si>
  <si>
    <t>A traves de la Subdirección de TI se tiene el contrato para atender los requerimientos de  todo EPM sobre adquisicion de equipos informaticos (PC, POORTATILES, IMPRESORAS ETEC)</t>
  </si>
  <si>
    <t>Suministro de licencias y mantenimiento (actualizaciones y soporte técnico) de los productos Autodesk y la prestación de los servicios asociados al software</t>
  </si>
  <si>
    <t>CT-2010-0486-R1</t>
  </si>
  <si>
    <t>Jun 28/2011</t>
  </si>
  <si>
    <t>Jun 28/2012</t>
  </si>
  <si>
    <t>A traves de la Subdirección de TI se tiene el contrato para atender los requerimientos de  todo EPM sobre licenciamiento de AUTODESK</t>
  </si>
  <si>
    <t>Soporte y Mantenimiento del software para el modelo SSDP(Incluye paquete Optimization XPRESS)</t>
  </si>
  <si>
    <t>EP-2012-00501</t>
  </si>
  <si>
    <t xml:space="preserve">UNIDAD INFORMATICA ENERGIA </t>
  </si>
  <si>
    <t>Soporte y mantenimiento del software PLS-CADD, modulos Optimization y Tower</t>
  </si>
  <si>
    <t>CT-2012-000010</t>
  </si>
  <si>
    <t>Enero 18/2012</t>
  </si>
  <si>
    <t>Enero 17/2012</t>
  </si>
  <si>
    <t>SOPORTE Y MANTENIMINETO CYMDIST( software para analisisde redes y distribución electrica)</t>
  </si>
  <si>
    <t>EP-2012-00498</t>
  </si>
  <si>
    <t>SUMINISTRO, ACTUALIZACION, SOPORTE, MANTENIMIENTO, ASISTENCIA TECNICA Y CAPACTIACION DE HERRAMIENTAS ESRI(ARCGIS)</t>
  </si>
  <si>
    <t>EP-2012-00497</t>
  </si>
  <si>
    <t>Prestacion del servicio para la Base de datos Hydstra que cubra Soporte, Mantenimiento, desarrollo y adquisición de licencias que se requiera para el buen funcionamiento de la base de datos Hidrometeorologica de Empresas Publicas de Medellin</t>
  </si>
  <si>
    <t>CT-2010-0810</t>
  </si>
  <si>
    <t>Agost 31/2010</t>
  </si>
  <si>
    <t>Agosto 30/2013</t>
  </si>
  <si>
    <t>SOPORTE Y MANTENIMIENTO LICENCIA DE E-VIEW</t>
  </si>
  <si>
    <t>EP-2012-00505</t>
  </si>
  <si>
    <t>soporte y mantenimiento software CPLEX para Energia</t>
  </si>
  <si>
    <t>El soporte y mantenimiento del software MV-9Oxi para la Telemedida de los grandes clientes de energía y fronteras comerciales que se tiene instalados en la Dirección de Energía de Empresas Publicas de Medellin</t>
  </si>
  <si>
    <t>CT-2010-1374</t>
  </si>
  <si>
    <t>Dic 28/2010</t>
  </si>
  <si>
    <t>Dic 27/2013</t>
  </si>
  <si>
    <t>SOPORTE Y MANTENIMIENTO DE LICENCIAS MATLAB INSTALADAS EN LAS DEPENDENCIAS DE LA DIRECCIÓN ENERGIA</t>
  </si>
  <si>
    <t>SUMINISTRO, SOPORTE TECNICO Y CAPACTIACIÓN DEL SOFTWARE DIGSILENT</t>
  </si>
  <si>
    <t>CT-2011-000881</t>
  </si>
  <si>
    <t>Setp 12/2011</t>
  </si>
  <si>
    <t>Sept 11/2014</t>
  </si>
  <si>
    <t>La prestación del servicio  con el fin de obtener el  soporte técnico remoto, soporte técnico en sitio, mantenimiento y actualización del software ION Enterprise &amp; ION EEM, asistencia técnica, asesoría en el desarrollo de funcionalidades y capacitación para el buen funcionamiento del Sistema de Gestión de la Calidad de la Potencia Eléctrica (SGCPE),  requerido por  las Empresas Públicas de Medellín</t>
  </si>
  <si>
    <t>PC-2011-007619</t>
  </si>
  <si>
    <t>ESTUDIO</t>
  </si>
  <si>
    <t>Realizar el estudio de conexión del proyecto Manuelita.</t>
  </si>
  <si>
    <t>1 INFORME</t>
  </si>
  <si>
    <t>Realizar el estudio de conexión del proyecto Carboeléctrica La Loma.</t>
  </si>
  <si>
    <t>Realizar el estudio de factibilidad técnico, ambiental y financiero del Proyecto Hidroeléctrico Espíritu Santo así como la elaboración del EIA.</t>
  </si>
  <si>
    <t>7 INFORMES</t>
  </si>
  <si>
    <t>ASESORIA</t>
  </si>
  <si>
    <t>Asesoría financiera de una banca de inversión en el proceso de negociación del Proyecto Hidroeléctrico Espíritu Santo.</t>
  </si>
  <si>
    <t>4 INFORMES</t>
  </si>
  <si>
    <t>Identificar el potencial de funcionarios del Área Planeación para desarrollar habilidades que permitan la conformación de equipos de alto desempeño.</t>
  </si>
  <si>
    <t xml:space="preserve">3 TALLERES CON SUS MEMORIAS- 1 INFORME </t>
  </si>
  <si>
    <t>Analizar las ventajas y desventajas que para EPM tendría  incluir a las comunidades organizadas o instituciones  en  sociedades u otras figuras  jurídicas para  realizar conjuntamente  estudios o construcción de proyectos.</t>
  </si>
  <si>
    <t>CARTOGRAFIA</t>
  </si>
  <si>
    <t>Producción de información geográfica de los proyectos de interes para EPM</t>
  </si>
  <si>
    <t>CT-2010-1357</t>
  </si>
  <si>
    <t>4 ACTAS- 12 INFORMES</t>
  </si>
  <si>
    <t>Estudios de monitoreo de variables físico bióticas de la cuenta del río Buey</t>
  </si>
  <si>
    <t>CT-51000437960</t>
  </si>
  <si>
    <t>3 INFORMES</t>
  </si>
  <si>
    <t>Desarrollar y aplicar una metodología para la valoración económica de los impactos en el proyecto hidroeléctrico El Buey</t>
  </si>
  <si>
    <t xml:space="preserve"> CT- 51000438009</t>
  </si>
  <si>
    <t>Estudio de prefactibilidad  y  factibilidad de proyectos en la cuenca Penderisco</t>
  </si>
  <si>
    <t>CT-2011-001052</t>
  </si>
  <si>
    <t>13 INFORMES</t>
  </si>
  <si>
    <t>Factibilidad técnica, económica y ambiental de proyecto cogeneración MANUELITA</t>
  </si>
  <si>
    <t>CT-2011-0000982</t>
  </si>
  <si>
    <t>Complementación de los estudios de factibilidad de la carboeléctrica La Loma</t>
  </si>
  <si>
    <t>PC-2011-003990</t>
  </si>
  <si>
    <t>Dirigir, coordinar y asesorar en los procesos de negociación de proyectos.</t>
  </si>
  <si>
    <t>CT-2011-000623</t>
  </si>
  <si>
    <t>Asesoría metodología catálogo de proyectos</t>
  </si>
  <si>
    <t>CT-2011-001034</t>
  </si>
  <si>
    <t>2 TALLERES- 2 INFORMES</t>
  </si>
  <si>
    <t>Análisis de la Metodología de Remuneración de la Distribución de Energía Eléctrica en Colombia</t>
  </si>
</sst>
</file>

<file path=xl/styles.xml><?xml version="1.0" encoding="utf-8"?>
<styleSheet xmlns="http://schemas.openxmlformats.org/spreadsheetml/2006/main">
  <numFmts count="24">
    <numFmt numFmtId="6" formatCode="&quot;$&quot;\ #,##0_);[Red]\(&quot;$&quot;\ #,##0\)"/>
    <numFmt numFmtId="44" formatCode="_(&quot;$&quot;\ * #,##0.00_);_(&quot;$&quot;\ * \(#,##0.00\);_(&quot;$&quot;\ * &quot;-&quot;??_);_(@_)"/>
    <numFmt numFmtId="43" formatCode="_(* #,##0.00_);_(* \(#,##0.00\);_(* &quot;-&quot;??_);_(@_)"/>
    <numFmt numFmtId="164" formatCode="yyyy\-mm\-dd;@"/>
    <numFmt numFmtId="165" formatCode="&quot;$&quot;\ #,##0"/>
    <numFmt numFmtId="166" formatCode="d/mm/yyyy;@"/>
    <numFmt numFmtId="167" formatCode="_ [$€-2]\ * #,##0.00_ ;_ [$€-2]\ * \-#,##0.00_ ;_ [$€-2]\ * &quot;-&quot;??_ "/>
    <numFmt numFmtId="168" formatCode="_ * #,##0.00_ ;_ * \-#,##0.00_ ;_ * &quot;-&quot;??_ ;_ @_ "/>
    <numFmt numFmtId="169" formatCode="_-* #,##0.00\ _€_-;\-* #,##0.00\ _€_-;_-* &quot;-&quot;??\ _€_-;_-@_-"/>
    <numFmt numFmtId="170" formatCode="_(* #,##0.0_);_(* \(#,##0.0\);_(* &quot;-&quot;??_);_(@_)"/>
    <numFmt numFmtId="171" formatCode="_-* #,##0.00\ &quot;$&quot;_-;\-* #,##0.00\ &quot;$&quot;_-;_-* &quot;-&quot;??\ &quot;$&quot;_-;_-@_-"/>
    <numFmt numFmtId="172" formatCode="_ &quot;$&quot;\ * #,##0.00_ ;_ &quot;$&quot;\ * \-#,##0.00_ ;_ &quot;$&quot;\ * &quot;-&quot;??_ ;_ @_ "/>
    <numFmt numFmtId="173" formatCode="_(&quot;$&quot;\ * #,##0_);_(&quot;$&quot;\ * \(#,##0\);_(&quot;$&quot;\ * &quot;-&quot;??_);_(@_)"/>
    <numFmt numFmtId="174" formatCode="0.000%"/>
    <numFmt numFmtId="175" formatCode="_(* #,##0_);_(* \(#,##0\);_(* &quot;-&quot;??_);_(@_)"/>
    <numFmt numFmtId="176" formatCode="_(* #,##0.00000000_);_(* \(#,##0.00000000\);_(* &quot;-&quot;??_);_(@_)"/>
    <numFmt numFmtId="177" formatCode="0.000_);\(0.000\)"/>
    <numFmt numFmtId="178" formatCode="_ * #,##0_ ;_ * \-#,##0_ ;_ * &quot;-&quot;??_ ;_ @_ "/>
    <numFmt numFmtId="179" formatCode="0.0%"/>
    <numFmt numFmtId="180" formatCode="0000"/>
    <numFmt numFmtId="181" formatCode="dd/mm/yyyy;@"/>
    <numFmt numFmtId="182" formatCode="dd\-mmm\-yyyy"/>
    <numFmt numFmtId="183" formatCode="#,##0.0"/>
    <numFmt numFmtId="184" formatCode="0.0"/>
  </numFmts>
  <fonts count="52">
    <font>
      <sz val="11"/>
      <color theme="1"/>
      <name val="Calibri"/>
      <family val="2"/>
      <scheme val="minor"/>
    </font>
    <font>
      <sz val="10"/>
      <name val="Arial"/>
      <family val="2"/>
    </font>
    <font>
      <sz val="8"/>
      <color indexed="81"/>
      <name val="Tahoma"/>
      <family val="2"/>
    </font>
    <font>
      <sz val="11"/>
      <color theme="1"/>
      <name val="Calibri"/>
      <family val="2"/>
      <scheme val="minor"/>
    </font>
    <font>
      <b/>
      <sz val="12"/>
      <name val="Calibri"/>
      <family val="2"/>
      <scheme val="minor"/>
    </font>
    <font>
      <sz val="12"/>
      <name val="Calibri"/>
      <family val="2"/>
      <scheme val="minor"/>
    </font>
    <font>
      <sz val="12"/>
      <color indexed="8"/>
      <name val="Calibri"/>
      <family val="2"/>
      <scheme val="minor"/>
    </font>
    <font>
      <b/>
      <sz val="12"/>
      <color theme="1"/>
      <name val="Calibri"/>
      <family val="2"/>
      <scheme val="minor"/>
    </font>
    <font>
      <sz val="12"/>
      <color theme="1"/>
      <name val="Calibri"/>
      <family val="2"/>
      <scheme val="minor"/>
    </font>
    <font>
      <b/>
      <sz val="12"/>
      <color rgb="FF00B050"/>
      <name val="Calibri"/>
      <family val="2"/>
      <scheme val="minor"/>
    </font>
    <font>
      <b/>
      <sz val="12"/>
      <color indexed="8"/>
      <name val="Calibri"/>
      <family val="2"/>
      <scheme val="minor"/>
    </font>
    <font>
      <sz val="11"/>
      <color theme="0"/>
      <name val="Calibri"/>
      <family val="2"/>
      <scheme val="minor"/>
    </font>
    <font>
      <b/>
      <sz val="14"/>
      <color rgb="FF00B050"/>
      <name val="Calibri"/>
      <family val="2"/>
      <scheme val="minor"/>
    </font>
    <font>
      <b/>
      <sz val="11"/>
      <name val="Calibri"/>
      <family val="2"/>
      <scheme val="minor"/>
    </font>
    <font>
      <sz val="11"/>
      <name val="Calibri"/>
      <family val="2"/>
      <scheme val="minor"/>
    </font>
    <font>
      <b/>
      <sz val="10"/>
      <name val="Calibri"/>
      <family val="2"/>
      <scheme val="minor"/>
    </font>
    <font>
      <sz val="10"/>
      <color indexed="8"/>
      <name val="Calibri"/>
      <family val="2"/>
      <scheme val="minor"/>
    </font>
    <font>
      <sz val="10"/>
      <color theme="1"/>
      <name val="Calibri"/>
      <family val="2"/>
      <scheme val="minor"/>
    </font>
    <font>
      <sz val="10"/>
      <name val="Calibri"/>
      <family val="2"/>
    </font>
    <font>
      <sz val="11"/>
      <name val="Calibri"/>
      <family val="2"/>
    </font>
    <font>
      <b/>
      <sz val="9"/>
      <color indexed="81"/>
      <name val="Tahoma"/>
      <family val="2"/>
    </font>
    <font>
      <sz val="9"/>
      <color indexed="81"/>
      <name val="Tahoma"/>
      <family val="2"/>
    </font>
    <font>
      <sz val="11"/>
      <color indexed="8"/>
      <name val="Calibri"/>
      <family val="2"/>
    </font>
    <font>
      <sz val="10"/>
      <color theme="1"/>
      <name val="Arial"/>
      <family val="2"/>
    </font>
    <font>
      <sz val="11"/>
      <color indexed="8"/>
      <name val="Calibri"/>
      <family val="2"/>
      <scheme val="minor"/>
    </font>
    <font>
      <sz val="9"/>
      <color theme="1"/>
      <name val="Calibri"/>
      <family val="2"/>
      <scheme val="minor"/>
    </font>
    <font>
      <sz val="8"/>
      <color theme="1"/>
      <name val="Calibri"/>
      <family val="2"/>
      <scheme val="minor"/>
    </font>
    <font>
      <b/>
      <sz val="9"/>
      <color indexed="8"/>
      <name val="Arial"/>
      <family val="2"/>
    </font>
    <font>
      <sz val="9"/>
      <color theme="1"/>
      <name val="Arial"/>
      <family val="2"/>
    </font>
    <font>
      <b/>
      <sz val="8"/>
      <name val="Arial"/>
      <family val="2"/>
    </font>
    <font>
      <sz val="8"/>
      <color indexed="8"/>
      <name val="Arial"/>
      <family val="2"/>
    </font>
    <font>
      <sz val="8"/>
      <name val="Arial"/>
      <family val="2"/>
    </font>
    <font>
      <b/>
      <sz val="8"/>
      <color indexed="81"/>
      <name val="Tahoma"/>
      <family val="2"/>
    </font>
    <font>
      <b/>
      <sz val="11"/>
      <color theme="1"/>
      <name val="Calibri"/>
      <family val="2"/>
      <scheme val="minor"/>
    </font>
    <font>
      <sz val="10"/>
      <name val="Calibri"/>
      <family val="2"/>
      <scheme val="minor"/>
    </font>
    <font>
      <sz val="11"/>
      <color rgb="FF000000"/>
      <name val="Calibri"/>
      <family val="2"/>
      <scheme val="minor"/>
    </font>
    <font>
      <b/>
      <sz val="10"/>
      <color theme="1"/>
      <name val="Calibri"/>
      <family val="2"/>
      <scheme val="minor"/>
    </font>
    <font>
      <b/>
      <sz val="10"/>
      <color rgb="FF00B050"/>
      <name val="Calibri"/>
      <family val="2"/>
      <scheme val="minor"/>
    </font>
    <font>
      <sz val="10"/>
      <color theme="0"/>
      <name val="Calibri"/>
      <family val="2"/>
      <scheme val="minor"/>
    </font>
    <font>
      <sz val="8"/>
      <color rgb="FF000033"/>
      <name val="Verdana"/>
      <family val="2"/>
    </font>
    <font>
      <b/>
      <sz val="9"/>
      <color indexed="81"/>
      <name val="Calibri"/>
      <family val="2"/>
      <scheme val="minor"/>
    </font>
    <font>
      <sz val="9"/>
      <color indexed="81"/>
      <name val="Calibri"/>
      <family val="2"/>
      <scheme val="minor"/>
    </font>
    <font>
      <b/>
      <sz val="10"/>
      <color rgb="FF000000"/>
      <name val="Calibri"/>
      <family val="2"/>
      <scheme val="minor"/>
    </font>
    <font>
      <b/>
      <sz val="22"/>
      <name val="Calibri"/>
      <family val="2"/>
      <scheme val="minor"/>
    </font>
    <font>
      <sz val="8"/>
      <color theme="1"/>
      <name val="Arial"/>
      <family val="2"/>
    </font>
    <font>
      <b/>
      <sz val="8"/>
      <color theme="1"/>
      <name val="Arial"/>
      <family val="2"/>
    </font>
    <font>
      <b/>
      <sz val="10"/>
      <color indexed="81"/>
      <name val="Tahoma"/>
      <family val="2"/>
    </font>
    <font>
      <sz val="10"/>
      <color indexed="81"/>
      <name val="Tahoma"/>
      <family val="2"/>
    </font>
    <font>
      <b/>
      <sz val="12.5"/>
      <color theme="1"/>
      <name val="Arial"/>
      <family val="2"/>
    </font>
    <font>
      <sz val="9"/>
      <name val="Arial"/>
      <family val="2"/>
    </font>
    <font>
      <b/>
      <sz val="8"/>
      <color indexed="81"/>
      <name val="Tahoma"/>
      <charset val="1"/>
    </font>
    <font>
      <sz val="8"/>
      <color indexed="81"/>
      <name val="Tahoma"/>
      <charset val="1"/>
    </font>
  </fonts>
  <fills count="13">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0" tint="-4.9989318521683403E-2"/>
        <bgColor indexed="64"/>
      </patternFill>
    </fill>
    <fill>
      <patternFill patternType="solid">
        <fgColor indexed="22"/>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rgb="FF7AD400"/>
        <bgColor indexed="64"/>
      </patternFill>
    </fill>
    <fill>
      <patternFill patternType="solid">
        <fgColor rgb="FF8B8D8E"/>
        <bgColor indexed="64"/>
      </patternFill>
    </fill>
    <fill>
      <patternFill patternType="solid">
        <fgColor theme="6" tint="0.59999389629810485"/>
        <bgColor indexed="64"/>
      </patternFill>
    </fill>
    <fill>
      <patternFill patternType="solid">
        <fgColor theme="0" tint="-0.24994659260841701"/>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
      <left style="thin">
        <color indexed="64"/>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double">
        <color indexed="64"/>
      </left>
      <right style="double">
        <color indexed="64"/>
      </right>
      <top/>
      <bottom style="double">
        <color indexed="64"/>
      </bottom>
      <diagonal/>
    </border>
    <border>
      <left style="thin">
        <color indexed="64"/>
      </left>
      <right style="hair">
        <color indexed="64"/>
      </right>
      <top style="double">
        <color indexed="64"/>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double">
        <color indexed="64"/>
      </right>
      <top style="double">
        <color indexed="64"/>
      </top>
      <bottom/>
      <diagonal/>
    </border>
    <border>
      <left style="double">
        <color indexed="64"/>
      </left>
      <right/>
      <top style="double">
        <color indexed="64"/>
      </top>
      <bottom/>
      <diagonal/>
    </border>
    <border>
      <left style="hair">
        <color indexed="64"/>
      </left>
      <right style="double">
        <color indexed="64"/>
      </right>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diagonal/>
    </border>
    <border>
      <left style="double">
        <color indexed="64"/>
      </left>
      <right style="hair">
        <color indexed="64"/>
      </right>
      <top/>
      <bottom/>
      <diagonal/>
    </border>
    <border>
      <left style="double">
        <color indexed="64"/>
      </left>
      <right style="hair">
        <color indexed="64"/>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64"/>
      </top>
      <bottom/>
      <diagonal/>
    </border>
  </borders>
  <cellStyleXfs count="452">
    <xf numFmtId="0" fontId="0" fillId="0" borderId="0"/>
    <xf numFmtId="0" fontId="1" fillId="0" borderId="0"/>
    <xf numFmtId="0" fontId="1" fillId="0" borderId="0"/>
    <xf numFmtId="9" fontId="3" fillId="0" borderId="0" applyFont="0" applyFill="0" applyBorder="0" applyAlignment="0" applyProtection="0"/>
    <xf numFmtId="44" fontId="3"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22"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22"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2" fillId="0" borderId="0" applyFont="0" applyFill="0" applyBorder="0" applyAlignment="0" applyProtection="0"/>
    <xf numFmtId="43" fontId="23" fillId="0" borderId="0" applyFont="0" applyFill="0" applyBorder="0" applyAlignment="0" applyProtection="0"/>
    <xf numFmtId="169" fontId="3" fillId="0" borderId="0" applyFont="0" applyFill="0" applyBorder="0" applyAlignment="0" applyProtection="0"/>
    <xf numFmtId="43" fontId="22"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0" fontId="22"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1" fontId="22" fillId="0" borderId="0" applyFont="0" applyFill="0" applyBorder="0" applyAlignment="0" applyProtection="0"/>
    <xf numFmtId="171" fontId="22" fillId="0" borderId="0" applyFont="0" applyFill="0" applyBorder="0" applyAlignment="0" applyProtection="0"/>
    <xf numFmtId="171" fontId="22" fillId="0" borderId="0" applyFont="0" applyFill="0" applyBorder="0" applyAlignment="0" applyProtection="0"/>
    <xf numFmtId="171" fontId="22"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22" fillId="0" borderId="0"/>
    <xf numFmtId="0" fontId="3" fillId="0" borderId="0"/>
    <xf numFmtId="0" fontId="3" fillId="0" borderId="0"/>
    <xf numFmtId="0" fontId="3" fillId="0" borderId="0"/>
    <xf numFmtId="0" fontId="3" fillId="0" borderId="0"/>
    <xf numFmtId="0" fontId="3" fillId="0" borderId="0"/>
    <xf numFmtId="0" fontId="22" fillId="0" borderId="0"/>
    <xf numFmtId="0" fontId="3" fillId="0" borderId="0"/>
    <xf numFmtId="0" fontId="3" fillId="0" borderId="0"/>
    <xf numFmtId="0" fontId="3" fillId="0" borderId="0"/>
    <xf numFmtId="0" fontId="1" fillId="0" borderId="0"/>
    <xf numFmtId="0" fontId="22"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22" fillId="0" borderId="0"/>
    <xf numFmtId="16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1" fillId="0" borderId="0"/>
    <xf numFmtId="0" fontId="1" fillId="0" borderId="0"/>
    <xf numFmtId="0" fontId="3" fillId="0" borderId="0"/>
    <xf numFmtId="0" fontId="1" fillId="0" borderId="0"/>
    <xf numFmtId="0" fontId="1" fillId="0" borderId="0"/>
    <xf numFmtId="0" fontId="3" fillId="0" borderId="0"/>
    <xf numFmtId="0" fontId="22" fillId="0" borderId="0"/>
    <xf numFmtId="0" fontId="2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2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22" fillId="3" borderId="5" applyNumberFormat="0" applyFont="0" applyAlignment="0" applyProtection="0"/>
    <xf numFmtId="9" fontId="2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2" fillId="0" borderId="0" applyFont="0" applyFill="0" applyBorder="0" applyAlignment="0" applyProtection="0"/>
    <xf numFmtId="9" fontId="23" fillId="0" borderId="0" applyFont="0" applyFill="0" applyBorder="0" applyAlignment="0" applyProtection="0"/>
    <xf numFmtId="43" fontId="3" fillId="0" borderId="0" applyFont="0" applyFill="0" applyBorder="0" applyAlignment="0" applyProtection="0"/>
  </cellStyleXfs>
  <cellXfs count="858">
    <xf numFmtId="0" fontId="0" fillId="0" borderId="0" xfId="0"/>
    <xf numFmtId="0" fontId="4" fillId="0" borderId="1" xfId="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164"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6" fontId="8"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165" fontId="8" fillId="0" borderId="1" xfId="0" applyNumberFormat="1" applyFont="1" applyFill="1" applyBorder="1" applyAlignment="1">
      <alignment horizontal="center" vertical="center"/>
    </xf>
    <xf numFmtId="14" fontId="5" fillId="0" borderId="1" xfId="0" applyNumberFormat="1" applyFont="1" applyBorder="1" applyAlignment="1">
      <alignment horizontal="center" vertical="center"/>
    </xf>
    <xf numFmtId="166" fontId="5" fillId="0" borderId="1" xfId="0" applyNumberFormat="1" applyFont="1" applyBorder="1" applyAlignment="1">
      <alignment horizontal="center" vertical="center"/>
    </xf>
    <xf numFmtId="0" fontId="8" fillId="0" borderId="1" xfId="0" applyFont="1" applyBorder="1" applyAlignment="1">
      <alignment horizontal="center" vertical="center"/>
    </xf>
    <xf numFmtId="9" fontId="5" fillId="0" borderId="1" xfId="3" applyFont="1" applyBorder="1" applyAlignment="1">
      <alignment horizontal="center" vertical="center"/>
    </xf>
    <xf numFmtId="14" fontId="5" fillId="0" borderId="1" xfId="0" applyNumberFormat="1" applyFont="1" applyBorder="1" applyAlignment="1">
      <alignment horizontal="center" vertical="center" wrapText="1"/>
    </xf>
    <xf numFmtId="0" fontId="8" fillId="0" borderId="0" xfId="0" applyFont="1"/>
    <xf numFmtId="0" fontId="4" fillId="0" borderId="0"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0" xfId="1" applyFont="1" applyFill="1" applyBorder="1" applyAlignment="1">
      <alignment horizontal="center"/>
    </xf>
    <xf numFmtId="0" fontId="4" fillId="2" borderId="1" xfId="0" applyFont="1" applyFill="1" applyBorder="1" applyAlignment="1">
      <alignment horizontal="center" vertical="center" wrapText="1"/>
    </xf>
    <xf numFmtId="0" fontId="7" fillId="0" borderId="0" xfId="0" applyFont="1" applyAlignment="1">
      <alignment horizontal="center" vertical="center"/>
    </xf>
    <xf numFmtId="14" fontId="4" fillId="0" borderId="1" xfId="0" applyNumberFormat="1" applyFont="1" applyBorder="1" applyAlignment="1">
      <alignment horizontal="center" vertical="center"/>
    </xf>
    <xf numFmtId="0" fontId="7"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8" fillId="0" borderId="0" xfId="0" applyFont="1" applyFill="1"/>
    <xf numFmtId="0" fontId="4" fillId="2" borderId="2" xfId="0" applyFont="1" applyFill="1" applyBorder="1" applyAlignment="1">
      <alignment horizontal="center" vertical="center" wrapText="1"/>
    </xf>
    <xf numFmtId="0" fontId="4" fillId="0" borderId="1" xfId="2" applyFont="1" applyFill="1" applyBorder="1" applyAlignment="1">
      <alignment horizontal="center" vertical="center" wrapText="1"/>
    </xf>
    <xf numFmtId="0" fontId="5" fillId="0" borderId="1" xfId="0" applyFont="1" applyBorder="1" applyAlignment="1">
      <alignment horizontal="center" vertical="center"/>
    </xf>
    <xf numFmtId="0" fontId="4" fillId="2" borderId="3"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9" fontId="5" fillId="0" borderId="2" xfId="3" applyFont="1" applyBorder="1" applyAlignment="1">
      <alignment horizontal="center" vertical="center"/>
    </xf>
    <xf numFmtId="0" fontId="4" fillId="0" borderId="3" xfId="0" applyFont="1" applyFill="1" applyBorder="1" applyAlignment="1">
      <alignment horizontal="center" vertical="center"/>
    </xf>
    <xf numFmtId="165" fontId="8" fillId="0" borderId="3" xfId="0" applyNumberFormat="1" applyFont="1" applyFill="1" applyBorder="1" applyAlignment="1">
      <alignment horizontal="center" vertical="center"/>
    </xf>
    <xf numFmtId="166" fontId="5" fillId="0" borderId="3" xfId="0" applyNumberFormat="1" applyFont="1" applyBorder="1" applyAlignment="1">
      <alignment horizontal="center" vertical="center"/>
    </xf>
    <xf numFmtId="14" fontId="5" fillId="0" borderId="3" xfId="0" applyNumberFormat="1" applyFont="1" applyBorder="1" applyAlignment="1">
      <alignment horizontal="center" vertical="center"/>
    </xf>
    <xf numFmtId="0" fontId="4" fillId="0" borderId="2" xfId="0" applyFont="1" applyFill="1" applyBorder="1" applyAlignment="1">
      <alignment horizontal="center" vertical="center"/>
    </xf>
    <xf numFmtId="165" fontId="8" fillId="0" borderId="2" xfId="0" applyNumberFormat="1" applyFont="1" applyFill="1" applyBorder="1" applyAlignment="1">
      <alignment horizontal="center" vertical="center"/>
    </xf>
    <xf numFmtId="14" fontId="5" fillId="0" borderId="2" xfId="0" applyNumberFormat="1" applyFont="1" applyBorder="1" applyAlignment="1">
      <alignment horizontal="center" vertical="center"/>
    </xf>
    <xf numFmtId="0" fontId="8" fillId="0" borderId="2" xfId="0" applyFont="1" applyFill="1" applyBorder="1" applyAlignment="1">
      <alignment horizontal="center" vertical="center" wrapText="1"/>
    </xf>
    <xf numFmtId="6" fontId="8" fillId="0" borderId="2" xfId="0"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11" fillId="0" borderId="0" xfId="0" applyFont="1" applyAlignment="1">
      <alignment horizontal="center"/>
    </xf>
    <xf numFmtId="0" fontId="0" fillId="0" borderId="0" xfId="0" applyAlignment="1">
      <alignment horizontal="center"/>
    </xf>
    <xf numFmtId="0" fontId="13" fillId="0" borderId="0" xfId="1" applyFont="1" applyAlignment="1">
      <alignment horizontal="center" vertical="center"/>
    </xf>
    <xf numFmtId="0" fontId="14" fillId="0" borderId="0" xfId="1" applyFont="1" applyAlignment="1">
      <alignment horizontal="center"/>
    </xf>
    <xf numFmtId="0" fontId="14" fillId="0" borderId="0" xfId="1" applyFont="1" applyAlignment="1">
      <alignment horizontal="center" wrapText="1"/>
    </xf>
    <xf numFmtId="0" fontId="15" fillId="4" borderId="10" xfId="2" applyFont="1" applyFill="1" applyBorder="1" applyAlignment="1">
      <alignment horizontal="center" vertical="center" wrapText="1"/>
    </xf>
    <xf numFmtId="0" fontId="15" fillId="4" borderId="7" xfId="1" applyFont="1" applyFill="1" applyBorder="1" applyAlignment="1">
      <alignment horizontal="center" vertical="center" wrapText="1"/>
    </xf>
    <xf numFmtId="0" fontId="17" fillId="0" borderId="0" xfId="0" applyFont="1" applyAlignment="1">
      <alignment horizontal="center"/>
    </xf>
    <xf numFmtId="0" fontId="18" fillId="2" borderId="1" xfId="0" applyFont="1" applyFill="1" applyBorder="1" applyAlignment="1">
      <alignment horizontal="center" vertical="center" wrapText="1"/>
    </xf>
    <xf numFmtId="0" fontId="14" fillId="0" borderId="0" xfId="0" applyFont="1" applyAlignment="1">
      <alignment horizontal="center" vertical="center"/>
    </xf>
    <xf numFmtId="0" fontId="1" fillId="2" borderId="1" xfId="0" applyFont="1" applyFill="1" applyBorder="1" applyAlignment="1">
      <alignment horizontal="center" vertical="center" wrapText="1"/>
    </xf>
    <xf numFmtId="6" fontId="18"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0" borderId="0" xfId="0" applyAlignment="1">
      <alignment horizontal="center" wrapText="1"/>
    </xf>
    <xf numFmtId="0" fontId="11" fillId="0" borderId="0" xfId="0" applyFont="1"/>
    <xf numFmtId="0" fontId="13" fillId="0" borderId="0" xfId="1" applyFont="1" applyAlignment="1">
      <alignment horizontal="left" vertical="center" indent="2"/>
    </xf>
    <xf numFmtId="0" fontId="13" fillId="4" borderId="10" xfId="2" applyFont="1" applyFill="1" applyBorder="1" applyAlignment="1">
      <alignment horizontal="center" vertical="center" wrapText="1"/>
    </xf>
    <xf numFmtId="0" fontId="13" fillId="4" borderId="7" xfId="1" applyFont="1" applyFill="1" applyBorder="1" applyAlignment="1">
      <alignment horizontal="center" vertical="center" wrapText="1"/>
    </xf>
    <xf numFmtId="0" fontId="0" fillId="0" borderId="11" xfId="0" applyFont="1" applyBorder="1" applyAlignment="1">
      <alignment horizontal="center" vertical="center"/>
    </xf>
    <xf numFmtId="0" fontId="0" fillId="0" borderId="12" xfId="0" applyBorder="1" applyAlignment="1">
      <alignment horizontal="center" vertical="center" wrapText="1"/>
    </xf>
    <xf numFmtId="0" fontId="0" fillId="0" borderId="13" xfId="0" applyFont="1" applyBorder="1" applyAlignment="1">
      <alignment horizontal="center" vertical="center"/>
    </xf>
    <xf numFmtId="173" fontId="0" fillId="0" borderId="13" xfId="4" applyNumberFormat="1" applyFont="1" applyBorder="1" applyAlignment="1">
      <alignment horizontal="center" vertical="center" wrapText="1"/>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15" xfId="0" applyFont="1" applyBorder="1" applyAlignment="1">
      <alignment horizontal="center" vertical="center" wrapText="1"/>
    </xf>
    <xf numFmtId="9" fontId="0" fillId="0" borderId="15" xfId="0" applyNumberFormat="1" applyFont="1" applyBorder="1" applyAlignment="1">
      <alignment horizontal="center" vertical="center"/>
    </xf>
    <xf numFmtId="173" fontId="0" fillId="0" borderId="16" xfId="4" applyNumberFormat="1" applyFont="1" applyBorder="1" applyAlignment="1">
      <alignment horizontal="center" vertical="center" wrapText="1"/>
    </xf>
    <xf numFmtId="9" fontId="0" fillId="0" borderId="13" xfId="0" applyNumberFormat="1" applyFont="1" applyBorder="1" applyAlignment="1">
      <alignment horizontal="center" vertical="center"/>
    </xf>
    <xf numFmtId="0" fontId="0" fillId="0" borderId="17" xfId="0" applyFont="1" applyBorder="1" applyAlignment="1">
      <alignment horizontal="justify" vertical="top"/>
    </xf>
    <xf numFmtId="0" fontId="0" fillId="0" borderId="0" xfId="0" applyBorder="1"/>
    <xf numFmtId="173" fontId="0" fillId="0" borderId="13" xfId="4" applyNumberFormat="1" applyFont="1" applyBorder="1" applyAlignment="1">
      <alignment horizontal="center" vertical="center"/>
    </xf>
    <xf numFmtId="0" fontId="0" fillId="0" borderId="1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8" xfId="0" applyFont="1" applyBorder="1" applyAlignment="1">
      <alignment horizontal="justify" vertical="top"/>
    </xf>
    <xf numFmtId="0" fontId="0" fillId="0" borderId="13" xfId="0" applyFont="1" applyBorder="1" applyAlignment="1">
      <alignment horizontal="justify" vertical="top"/>
    </xf>
    <xf numFmtId="0" fontId="0" fillId="0" borderId="19" xfId="0" applyFont="1" applyBorder="1" applyAlignment="1">
      <alignment horizontal="center" vertical="center"/>
    </xf>
    <xf numFmtId="49" fontId="25" fillId="2" borderId="13" xfId="0" applyNumberFormat="1" applyFont="1" applyFill="1" applyBorder="1" applyAlignment="1">
      <alignment horizontal="center" vertical="center" wrapText="1"/>
    </xf>
    <xf numFmtId="0" fontId="0" fillId="0" borderId="15" xfId="0" applyBorder="1" applyAlignment="1">
      <alignment horizontal="center" vertical="center" wrapText="1"/>
    </xf>
    <xf numFmtId="9" fontId="0" fillId="0" borderId="15" xfId="0" applyNumberFormat="1" applyFont="1" applyBorder="1" applyAlignment="1">
      <alignment horizontal="center" vertical="center" wrapText="1"/>
    </xf>
    <xf numFmtId="0" fontId="0" fillId="0" borderId="13" xfId="0" applyBorder="1" applyAlignment="1">
      <alignment horizontal="justify" vertical="top"/>
    </xf>
    <xf numFmtId="0" fontId="0" fillId="0" borderId="17" xfId="0" applyBorder="1" applyAlignment="1">
      <alignment horizontal="justify" vertical="top"/>
    </xf>
    <xf numFmtId="0" fontId="0" fillId="0" borderId="13" xfId="0" applyBorder="1"/>
    <xf numFmtId="0" fontId="0" fillId="0" borderId="13" xfId="0" applyBorder="1" applyAlignment="1">
      <alignment horizontal="center" vertical="center"/>
    </xf>
    <xf numFmtId="0" fontId="0" fillId="0" borderId="17" xfId="0" applyBorder="1"/>
    <xf numFmtId="0" fontId="0" fillId="0" borderId="19" xfId="0" applyBorder="1" applyAlignment="1">
      <alignment horizontal="center" vertical="center"/>
    </xf>
    <xf numFmtId="49" fontId="25" fillId="2" borderId="13" xfId="0" applyNumberFormat="1" applyFont="1" applyFill="1" applyBorder="1" applyAlignment="1">
      <alignment vertical="center" wrapText="1"/>
    </xf>
    <xf numFmtId="0" fontId="0" fillId="0" borderId="19" xfId="0" applyBorder="1"/>
    <xf numFmtId="0" fontId="0" fillId="0" borderId="18" xfId="0" applyBorder="1"/>
    <xf numFmtId="0" fontId="0" fillId="0" borderId="11" xfId="0" applyBorder="1"/>
    <xf numFmtId="0" fontId="0" fillId="0" borderId="20" xfId="0" applyBorder="1"/>
    <xf numFmtId="0" fontId="0" fillId="0" borderId="21" xfId="0" applyBorder="1"/>
    <xf numFmtId="0" fontId="0" fillId="0" borderId="22" xfId="0" applyBorder="1"/>
    <xf numFmtId="0" fontId="13" fillId="4" borderId="6" xfId="1" applyFont="1" applyFill="1" applyBorder="1" applyAlignment="1">
      <alignment horizontal="center" vertical="center" wrapText="1"/>
    </xf>
    <xf numFmtId="174" fontId="18" fillId="2" borderId="1" xfId="0" applyNumberFormat="1" applyFont="1" applyFill="1" applyBorder="1" applyAlignment="1">
      <alignment horizontal="center" vertical="center" wrapText="1"/>
    </xf>
    <xf numFmtId="175" fontId="18" fillId="2" borderId="1" xfId="451" applyNumberFormat="1" applyFont="1" applyFill="1" applyBorder="1" applyAlignment="1">
      <alignment horizontal="center" vertical="center" wrapText="1"/>
    </xf>
    <xf numFmtId="175" fontId="1" fillId="2" borderId="1" xfId="451" applyNumberFormat="1" applyFont="1" applyFill="1" applyBorder="1" applyAlignment="1">
      <alignment horizontal="center" vertical="center" wrapText="1"/>
    </xf>
    <xf numFmtId="9" fontId="18" fillId="2" borderId="1" xfId="0" applyNumberFormat="1" applyFont="1" applyFill="1" applyBorder="1" applyAlignment="1">
      <alignment horizontal="center" vertical="center" wrapText="1"/>
    </xf>
    <xf numFmtId="0" fontId="14" fillId="0" borderId="0" xfId="1" applyFont="1" applyAlignment="1">
      <alignment horizontal="center" vertical="center"/>
    </xf>
    <xf numFmtId="0" fontId="14" fillId="0" borderId="0" xfId="1" applyFont="1" applyAlignment="1">
      <alignment vertical="center"/>
    </xf>
    <xf numFmtId="0" fontId="14" fillId="0" borderId="0" xfId="1" applyFont="1" applyAlignment="1">
      <alignment vertical="center" wrapText="1"/>
    </xf>
    <xf numFmtId="0" fontId="13" fillId="4" borderId="23" xfId="2" applyFont="1" applyFill="1" applyBorder="1" applyAlignment="1">
      <alignment horizontal="center" vertical="center" wrapText="1"/>
    </xf>
    <xf numFmtId="0" fontId="13" fillId="4" borderId="6" xfId="1" applyFont="1" applyFill="1" applyBorder="1" applyAlignment="1">
      <alignment vertical="center" wrapText="1"/>
    </xf>
    <xf numFmtId="2" fontId="14" fillId="0" borderId="13" xfId="0" applyNumberFormat="1" applyFont="1" applyBorder="1" applyAlignment="1">
      <alignment horizontal="justify" vertical="center"/>
    </xf>
    <xf numFmtId="0" fontId="14" fillId="0" borderId="13" xfId="0" applyFont="1" applyBorder="1" applyAlignment="1">
      <alignment horizontal="justify" vertical="center"/>
    </xf>
    <xf numFmtId="0" fontId="14" fillId="0" borderId="13" xfId="0" applyFont="1" applyBorder="1" applyAlignment="1">
      <alignment horizontal="center" vertical="center"/>
    </xf>
    <xf numFmtId="14" fontId="14" fillId="0" borderId="13" xfId="0" applyNumberFormat="1" applyFont="1" applyBorder="1" applyAlignment="1">
      <alignment horizontal="center" vertical="center"/>
    </xf>
    <xf numFmtId="0" fontId="14" fillId="0" borderId="13" xfId="0" applyFont="1" applyBorder="1" applyAlignment="1">
      <alignment vertical="center"/>
    </xf>
    <xf numFmtId="0" fontId="14" fillId="0" borderId="13" xfId="0" applyFont="1" applyBorder="1" applyAlignment="1">
      <alignment horizontal="center" vertical="top" wrapText="1"/>
    </xf>
    <xf numFmtId="0" fontId="14" fillId="0" borderId="0" xfId="0" applyFont="1" applyAlignment="1">
      <alignment vertical="center"/>
    </xf>
    <xf numFmtId="0" fontId="14" fillId="0" borderId="17" xfId="0" applyFont="1" applyBorder="1" applyAlignment="1">
      <alignment vertical="center" wrapText="1"/>
    </xf>
    <xf numFmtId="0" fontId="14" fillId="0" borderId="13" xfId="0" applyFont="1" applyBorder="1" applyAlignment="1">
      <alignment horizontal="justify" vertical="center" wrapText="1"/>
    </xf>
    <xf numFmtId="0" fontId="14" fillId="0" borderId="26" xfId="0" applyFont="1" applyBorder="1" applyAlignment="1">
      <alignment horizontal="center" vertical="center"/>
    </xf>
    <xf numFmtId="0" fontId="0" fillId="0" borderId="13" xfId="0" applyBorder="1" applyAlignment="1">
      <alignment vertical="center"/>
    </xf>
    <xf numFmtId="0" fontId="0" fillId="0" borderId="17" xfId="0" applyBorder="1" applyAlignment="1">
      <alignment vertical="center" wrapText="1"/>
    </xf>
    <xf numFmtId="176" fontId="26" fillId="0" borderId="13" xfId="451" applyNumberFormat="1" applyFont="1" applyBorder="1" applyAlignment="1">
      <alignment horizontal="center" vertical="center"/>
    </xf>
    <xf numFmtId="0" fontId="0" fillId="0" borderId="20" xfId="0" applyBorder="1" applyAlignment="1">
      <alignment horizontal="center" vertical="center"/>
    </xf>
    <xf numFmtId="0" fontId="0" fillId="0" borderId="20" xfId="0" applyBorder="1" applyAlignment="1">
      <alignment vertical="center"/>
    </xf>
    <xf numFmtId="0" fontId="0" fillId="0" borderId="21" xfId="0"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15" fillId="4" borderId="10" xfId="2" applyFont="1" applyFill="1" applyBorder="1" applyAlignment="1">
      <alignment horizontal="center" vertical="center" wrapText="1"/>
    </xf>
    <xf numFmtId="0" fontId="15" fillId="4" borderId="6" xfId="1" applyFont="1" applyFill="1" applyBorder="1" applyAlignment="1">
      <alignment horizontal="center" vertical="center" wrapText="1"/>
    </xf>
    <xf numFmtId="4" fontId="0" fillId="2" borderId="1" xfId="0" applyNumberFormat="1" applyFill="1" applyBorder="1" applyAlignment="1">
      <alignment vertical="center"/>
    </xf>
    <xf numFmtId="173" fontId="0" fillId="2" borderId="1" xfId="4" applyNumberFormat="1" applyFont="1" applyFill="1" applyBorder="1" applyAlignment="1">
      <alignment horizontal="center" vertical="center" wrapText="1"/>
    </xf>
    <xf numFmtId="14" fontId="0" fillId="2" borderId="1" xfId="0" applyNumberFormat="1" applyFill="1" applyBorder="1" applyAlignment="1">
      <alignment horizontal="center" vertical="center" wrapText="1"/>
    </xf>
    <xf numFmtId="1" fontId="0" fillId="0" borderId="1" xfId="0" applyNumberFormat="1" applyFill="1" applyBorder="1" applyAlignment="1">
      <alignment horizontal="center" vertical="center" wrapText="1"/>
    </xf>
    <xf numFmtId="3" fontId="0" fillId="2" borderId="1" xfId="0" applyNumberFormat="1" applyFill="1" applyBorder="1" applyAlignment="1">
      <alignment horizontal="center" vertical="center" wrapText="1"/>
    </xf>
    <xf numFmtId="1" fontId="0" fillId="2" borderId="1" xfId="0" applyNumberFormat="1" applyFill="1" applyBorder="1" applyAlignment="1">
      <alignment horizontal="center" vertical="center" wrapText="1"/>
    </xf>
    <xf numFmtId="175" fontId="0" fillId="2" borderId="1" xfId="451" applyNumberFormat="1" applyFont="1" applyFill="1" applyBorder="1" applyAlignment="1">
      <alignment vertical="center" wrapText="1"/>
    </xf>
    <xf numFmtId="4" fontId="0" fillId="0" borderId="1" xfId="0" applyNumberFormat="1" applyFill="1" applyBorder="1" applyAlignment="1">
      <alignment vertical="center"/>
    </xf>
    <xf numFmtId="14" fontId="0" fillId="0" borderId="1" xfId="0" applyNumberFormat="1" applyFill="1" applyBorder="1" applyAlignment="1">
      <alignment horizontal="center" vertical="center" wrapText="1"/>
    </xf>
    <xf numFmtId="4" fontId="0" fillId="2" borderId="1" xfId="0" applyNumberFormat="1" applyFill="1" applyBorder="1" applyAlignment="1">
      <alignment horizontal="center" vertical="center" wrapText="1"/>
    </xf>
    <xf numFmtId="175" fontId="0" fillId="0" borderId="1" xfId="451" applyNumberFormat="1" applyFont="1" applyFill="1" applyBorder="1" applyAlignment="1">
      <alignment vertical="center"/>
    </xf>
    <xf numFmtId="175" fontId="0" fillId="0" borderId="1" xfId="451" applyNumberFormat="1" applyFont="1" applyBorder="1" applyAlignment="1">
      <alignment vertical="center"/>
    </xf>
    <xf numFmtId="14" fontId="0" fillId="2" borderId="1" xfId="0" applyNumberFormat="1" applyFill="1" applyBorder="1"/>
    <xf numFmtId="175" fontId="0" fillId="0" borderId="1" xfId="451" applyNumberFormat="1" applyFont="1" applyBorder="1" applyAlignment="1">
      <alignment horizontal="center" vertical="center"/>
    </xf>
    <xf numFmtId="4" fontId="0" fillId="2" borderId="1" xfId="0" applyNumberFormat="1" applyFill="1" applyBorder="1" applyAlignment="1">
      <alignment vertical="center" wrapText="1"/>
    </xf>
    <xf numFmtId="14" fontId="0" fillId="2" borderId="1" xfId="0" applyNumberFormat="1" applyFill="1" applyBorder="1" applyAlignment="1">
      <alignment horizontal="center" vertical="center"/>
    </xf>
    <xf numFmtId="4" fontId="0" fillId="2" borderId="1" xfId="0" applyNumberFormat="1" applyFill="1" applyBorder="1" applyAlignment="1">
      <alignment horizontal="center" vertical="center"/>
    </xf>
    <xf numFmtId="4" fontId="14" fillId="0" borderId="1" xfId="0" applyNumberFormat="1" applyFont="1" applyBorder="1" applyAlignment="1">
      <alignment vertical="center"/>
    </xf>
    <xf numFmtId="4" fontId="14" fillId="2" borderId="1" xfId="0" applyNumberFormat="1" applyFont="1" applyFill="1" applyBorder="1" applyAlignment="1">
      <alignment horizontal="center" vertical="center"/>
    </xf>
    <xf numFmtId="14" fontId="0" fillId="2" borderId="1" xfId="0" applyNumberFormat="1" applyFill="1" applyBorder="1" applyAlignment="1">
      <alignment horizontal="center"/>
    </xf>
    <xf numFmtId="4" fontId="0" fillId="0" borderId="1" xfId="0" applyNumberFormat="1" applyBorder="1" applyAlignment="1">
      <alignment vertical="center"/>
    </xf>
    <xf numFmtId="175" fontId="0" fillId="2" borderId="1" xfId="0" applyNumberFormat="1" applyFill="1" applyBorder="1" applyAlignment="1">
      <alignment horizontal="center" vertical="center"/>
    </xf>
    <xf numFmtId="4" fontId="0" fillId="6" borderId="1" xfId="0" applyNumberFormat="1" applyFill="1" applyBorder="1" applyAlignment="1">
      <alignment vertical="center"/>
    </xf>
    <xf numFmtId="4" fontId="0" fillId="6" borderId="1" xfId="0" applyNumberFormat="1" applyFill="1" applyBorder="1"/>
    <xf numFmtId="3" fontId="0" fillId="6" borderId="1" xfId="0" applyNumberFormat="1" applyFill="1" applyBorder="1" applyAlignment="1">
      <alignment vertical="center"/>
    </xf>
    <xf numFmtId="177" fontId="0" fillId="0" borderId="1" xfId="451" applyNumberFormat="1" applyFont="1" applyBorder="1" applyAlignment="1">
      <alignment vertical="center"/>
    </xf>
    <xf numFmtId="167" fontId="18" fillId="0" borderId="3" xfId="0" applyNumberFormat="1" applyFont="1" applyFill="1" applyBorder="1" applyAlignment="1">
      <alignment vertical="center" wrapText="1"/>
    </xf>
    <xf numFmtId="175" fontId="30" fillId="7" borderId="1" xfId="66" applyNumberFormat="1" applyFont="1" applyFill="1" applyBorder="1" applyAlignment="1">
      <alignment horizontal="center" vertical="center" wrapText="1"/>
    </xf>
    <xf numFmtId="10" fontId="30" fillId="7" borderId="1" xfId="0" applyNumberFormat="1" applyFont="1" applyFill="1" applyBorder="1" applyAlignment="1">
      <alignment horizontal="center" vertical="center" wrapText="1"/>
    </xf>
    <xf numFmtId="167" fontId="18" fillId="0" borderId="1" xfId="0" applyNumberFormat="1" applyFont="1" applyFill="1" applyBorder="1" applyAlignment="1">
      <alignment vertical="center" wrapText="1"/>
    </xf>
    <xf numFmtId="167" fontId="18" fillId="7" borderId="1" xfId="0" applyNumberFormat="1" applyFont="1" applyFill="1" applyBorder="1" applyAlignment="1">
      <alignment vertical="center" wrapText="1"/>
    </xf>
    <xf numFmtId="175" fontId="30" fillId="0" borderId="1" xfId="66" applyNumberFormat="1" applyFont="1" applyFill="1" applyBorder="1" applyAlignment="1">
      <alignment horizontal="center" vertical="center" wrapText="1"/>
    </xf>
    <xf numFmtId="167" fontId="18" fillId="7" borderId="3" xfId="0" applyNumberFormat="1" applyFont="1" applyFill="1" applyBorder="1" applyAlignment="1">
      <alignment vertical="center" wrapText="1"/>
    </xf>
    <xf numFmtId="0" fontId="0" fillId="2" borderId="0" xfId="0" applyFill="1"/>
    <xf numFmtId="0" fontId="15" fillId="4" borderId="6" xfId="1" applyFont="1" applyFill="1" applyBorder="1" applyAlignment="1">
      <alignment horizontal="center" vertical="center" wrapText="1"/>
    </xf>
    <xf numFmtId="0" fontId="15" fillId="4" borderId="10" xfId="2" applyFont="1" applyFill="1" applyBorder="1" applyAlignment="1">
      <alignment horizontal="center" vertical="center" wrapText="1"/>
    </xf>
    <xf numFmtId="0" fontId="15" fillId="4" borderId="23" xfId="2" applyFont="1" applyFill="1" applyBorder="1" applyAlignment="1">
      <alignment horizontal="center" vertical="center" wrapText="1"/>
    </xf>
    <xf numFmtId="0" fontId="17" fillId="0" borderId="0" xfId="0" applyFont="1"/>
    <xf numFmtId="0" fontId="34" fillId="0" borderId="11" xfId="0" applyFont="1" applyBorder="1" applyAlignment="1">
      <alignment horizontal="justify" vertical="center" wrapText="1"/>
    </xf>
    <xf numFmtId="0" fontId="34" fillId="2" borderId="13" xfId="0" applyFont="1" applyFill="1" applyBorder="1" applyAlignment="1">
      <alignment horizontal="center" vertical="center" wrapText="1"/>
    </xf>
    <xf numFmtId="0" fontId="34" fillId="0" borderId="13" xfId="0" applyFont="1" applyBorder="1" applyAlignment="1">
      <alignment horizontal="justify" vertical="center" wrapText="1"/>
    </xf>
    <xf numFmtId="2" fontId="34" fillId="0" borderId="13" xfId="0" applyNumberFormat="1" applyFont="1" applyBorder="1" applyAlignment="1">
      <alignment horizontal="justify" vertical="center" wrapText="1"/>
    </xf>
    <xf numFmtId="0" fontId="34" fillId="0" borderId="13"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32" xfId="0" applyFont="1" applyBorder="1" applyAlignment="1">
      <alignment horizontal="justify" vertical="center" wrapText="1"/>
    </xf>
    <xf numFmtId="0" fontId="34" fillId="0" borderId="17" xfId="0" applyFont="1" applyBorder="1" applyAlignment="1">
      <alignment horizontal="justify" vertical="center" wrapText="1"/>
    </xf>
    <xf numFmtId="0" fontId="35" fillId="0" borderId="0" xfId="0" applyFont="1" applyAlignment="1">
      <alignment wrapText="1"/>
    </xf>
    <xf numFmtId="17" fontId="34" fillId="0" borderId="13" xfId="0" applyNumberFormat="1" applyFont="1" applyBorder="1" applyAlignment="1">
      <alignment horizontal="center" vertical="center" wrapText="1"/>
    </xf>
    <xf numFmtId="0" fontId="0" fillId="0" borderId="22"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0" xfId="0" applyAlignment="1">
      <alignment wrapText="1"/>
    </xf>
    <xf numFmtId="0" fontId="11" fillId="0" borderId="0" xfId="0" applyFont="1" applyBorder="1"/>
    <xf numFmtId="0" fontId="15" fillId="4" borderId="34" xfId="1" applyFont="1" applyFill="1" applyBorder="1" applyAlignment="1">
      <alignment horizontal="center" vertical="center" wrapText="1"/>
    </xf>
    <xf numFmtId="0" fontId="17" fillId="0" borderId="0" xfId="0" applyFont="1" applyBorder="1"/>
    <xf numFmtId="0" fontId="17" fillId="0" borderId="37" xfId="0" applyFont="1" applyFill="1" applyBorder="1" applyAlignment="1">
      <alignment horizontal="center" vertical="center"/>
    </xf>
    <xf numFmtId="0" fontId="17" fillId="0" borderId="37" xfId="0" applyFont="1" applyFill="1" applyBorder="1" applyAlignment="1">
      <alignment horizontal="justify" vertical="center" wrapText="1"/>
    </xf>
    <xf numFmtId="0" fontId="17" fillId="0" borderId="37" xfId="0" applyFont="1" applyFill="1" applyBorder="1" applyAlignment="1">
      <alignment horizontal="justify" vertical="center"/>
    </xf>
    <xf numFmtId="175" fontId="17" fillId="0" borderId="37" xfId="451" applyNumberFormat="1" applyFont="1" applyFill="1" applyBorder="1" applyAlignment="1">
      <alignment horizontal="center" vertical="center"/>
    </xf>
    <xf numFmtId="3" fontId="17" fillId="0" borderId="37" xfId="0" applyNumberFormat="1" applyFont="1" applyFill="1" applyBorder="1" applyAlignment="1">
      <alignment horizontal="center" vertical="center"/>
    </xf>
    <xf numFmtId="9" fontId="17" fillId="0" borderId="38" xfId="3" applyFont="1" applyFill="1" applyBorder="1" applyAlignment="1">
      <alignment horizontal="center" vertical="center"/>
    </xf>
    <xf numFmtId="0" fontId="17" fillId="0" borderId="39" xfId="0" applyFont="1" applyFill="1" applyBorder="1" applyAlignment="1">
      <alignment horizontal="justify" vertical="center" wrapText="1"/>
    </xf>
    <xf numFmtId="0" fontId="17" fillId="0" borderId="0" xfId="0" applyFont="1" applyFill="1" applyBorder="1" applyAlignment="1">
      <alignment vertical="center"/>
    </xf>
    <xf numFmtId="0" fontId="17" fillId="0" borderId="0" xfId="0" applyFont="1" applyFill="1" applyAlignment="1">
      <alignment vertical="center"/>
    </xf>
    <xf numFmtId="0" fontId="17" fillId="0" borderId="13" xfId="0" applyFont="1" applyFill="1" applyBorder="1" applyAlignment="1">
      <alignment horizontal="justify" vertical="center" wrapText="1"/>
    </xf>
    <xf numFmtId="0" fontId="17" fillId="0" borderId="13" xfId="0" applyFont="1" applyFill="1" applyBorder="1" applyAlignment="1">
      <alignment horizontal="justify" vertical="center"/>
    </xf>
    <xf numFmtId="175" fontId="17" fillId="0" borderId="13" xfId="451" applyNumberFormat="1" applyFont="1" applyFill="1" applyBorder="1" applyAlignment="1">
      <alignment horizontal="center" vertical="center"/>
    </xf>
    <xf numFmtId="3" fontId="17" fillId="0" borderId="13" xfId="0" applyNumberFormat="1" applyFont="1" applyFill="1" applyBorder="1" applyAlignment="1">
      <alignment horizontal="center" vertical="center"/>
    </xf>
    <xf numFmtId="9" fontId="17" fillId="0" borderId="15" xfId="3" applyFont="1" applyFill="1" applyBorder="1" applyAlignment="1">
      <alignment horizontal="center" vertical="center"/>
    </xf>
    <xf numFmtId="0" fontId="17" fillId="0" borderId="40" xfId="0" applyFont="1" applyFill="1" applyBorder="1" applyAlignment="1">
      <alignment horizontal="center" vertical="center"/>
    </xf>
    <xf numFmtId="0" fontId="17" fillId="0" borderId="13" xfId="0" applyFont="1" applyFill="1" applyBorder="1" applyAlignment="1">
      <alignment vertical="center" wrapText="1"/>
    </xf>
    <xf numFmtId="0" fontId="17" fillId="0" borderId="13" xfId="0" applyFont="1" applyFill="1" applyBorder="1" applyAlignment="1">
      <alignment horizontal="center" vertical="center"/>
    </xf>
    <xf numFmtId="14" fontId="17" fillId="0" borderId="13" xfId="0" applyNumberFormat="1" applyFont="1" applyFill="1" applyBorder="1" applyAlignment="1">
      <alignment horizontal="center" vertical="center"/>
    </xf>
    <xf numFmtId="9" fontId="17" fillId="0" borderId="13" xfId="0" applyNumberFormat="1" applyFont="1" applyFill="1" applyBorder="1" applyAlignment="1">
      <alignment horizontal="justify" vertical="center"/>
    </xf>
    <xf numFmtId="3" fontId="17" fillId="0" borderId="13" xfId="0" applyNumberFormat="1" applyFont="1" applyFill="1" applyBorder="1" applyAlignment="1">
      <alignment horizontal="right" vertical="center"/>
    </xf>
    <xf numFmtId="0" fontId="17" fillId="0" borderId="41" xfId="0" applyFont="1" applyFill="1" applyBorder="1" applyAlignment="1">
      <alignment horizontal="justify" vertical="center"/>
    </xf>
    <xf numFmtId="175" fontId="17" fillId="0" borderId="0" xfId="0" applyNumberFormat="1" applyFont="1" applyFill="1" applyBorder="1" applyAlignment="1">
      <alignment vertical="center"/>
    </xf>
    <xf numFmtId="0" fontId="17" fillId="0" borderId="13" xfId="0" applyFont="1" applyFill="1" applyBorder="1" applyAlignment="1">
      <alignment horizontal="left" vertical="center"/>
    </xf>
    <xf numFmtId="44" fontId="17" fillId="0" borderId="13" xfId="4" applyFont="1" applyFill="1" applyBorder="1" applyAlignment="1">
      <alignment horizontal="justify" vertical="center"/>
    </xf>
    <xf numFmtId="9" fontId="17" fillId="0" borderId="41" xfId="3" applyFont="1" applyFill="1" applyBorder="1" applyAlignment="1">
      <alignment horizontal="left" vertical="top" wrapText="1"/>
    </xf>
    <xf numFmtId="0" fontId="34" fillId="0" borderId="40" xfId="0" applyFont="1" applyFill="1" applyBorder="1" applyAlignment="1">
      <alignment horizontal="center" vertical="center" wrapText="1"/>
    </xf>
    <xf numFmtId="0" fontId="34" fillId="0" borderId="13" xfId="0" applyFont="1" applyFill="1" applyBorder="1" applyAlignment="1">
      <alignment horizontal="center" vertical="center" wrapText="1"/>
    </xf>
    <xf numFmtId="14" fontId="34" fillId="0" borderId="13" xfId="0" applyNumberFormat="1" applyFont="1" applyFill="1" applyBorder="1" applyAlignment="1">
      <alignment horizontal="center" vertical="center" wrapText="1"/>
    </xf>
    <xf numFmtId="9" fontId="34" fillId="0" borderId="13" xfId="0" applyNumberFormat="1" applyFont="1" applyFill="1" applyBorder="1" applyAlignment="1">
      <alignment horizontal="center" vertical="center" wrapText="1"/>
    </xf>
    <xf numFmtId="178" fontId="34" fillId="0" borderId="13" xfId="451" applyNumberFormat="1" applyFont="1" applyFill="1" applyBorder="1" applyAlignment="1">
      <alignment vertical="center" wrapText="1"/>
    </xf>
    <xf numFmtId="0" fontId="34" fillId="0" borderId="13" xfId="0" applyFont="1" applyFill="1" applyBorder="1" applyAlignment="1">
      <alignment vertical="center" wrapText="1"/>
    </xf>
    <xf numFmtId="9" fontId="34" fillId="0" borderId="15" xfId="3" applyFont="1" applyFill="1" applyBorder="1" applyAlignment="1">
      <alignment vertical="center" wrapText="1"/>
    </xf>
    <xf numFmtId="9" fontId="34" fillId="0" borderId="41" xfId="3" applyFont="1" applyFill="1" applyBorder="1" applyAlignment="1">
      <alignment vertical="center" wrapText="1"/>
    </xf>
    <xf numFmtId="0" fontId="34" fillId="2" borderId="40" xfId="0" applyFont="1" applyFill="1" applyBorder="1" applyAlignment="1">
      <alignment horizontal="center" vertical="center" wrapText="1"/>
    </xf>
    <xf numFmtId="14" fontId="34" fillId="2" borderId="13" xfId="0" applyNumberFormat="1" applyFont="1" applyFill="1" applyBorder="1" applyAlignment="1">
      <alignment horizontal="center" vertical="center" wrapText="1"/>
    </xf>
    <xf numFmtId="9" fontId="34" fillId="2" borderId="13" xfId="0" applyNumberFormat="1" applyFont="1" applyFill="1" applyBorder="1" applyAlignment="1">
      <alignment horizontal="center" vertical="center" wrapText="1"/>
    </xf>
    <xf numFmtId="178" fontId="34" fillId="2" borderId="13" xfId="451" applyNumberFormat="1" applyFont="1" applyFill="1" applyBorder="1" applyAlignment="1">
      <alignment vertical="center" wrapText="1"/>
    </xf>
    <xf numFmtId="0" fontId="34" fillId="2" borderId="13" xfId="0" applyFont="1" applyFill="1" applyBorder="1" applyAlignment="1">
      <alignment vertical="center" wrapText="1"/>
    </xf>
    <xf numFmtId="9" fontId="34" fillId="2" borderId="15" xfId="3" applyFont="1" applyFill="1" applyBorder="1" applyAlignment="1">
      <alignment vertical="center" wrapText="1"/>
    </xf>
    <xf numFmtId="9" fontId="34" fillId="2" borderId="41" xfId="3" applyFont="1" applyFill="1" applyBorder="1" applyAlignment="1">
      <alignment vertical="center" wrapText="1"/>
    </xf>
    <xf numFmtId="0" fontId="0" fillId="2" borderId="0" xfId="0" applyFill="1" applyBorder="1"/>
    <xf numFmtId="0" fontId="34" fillId="0" borderId="40" xfId="0" applyFont="1" applyBorder="1" applyAlignment="1">
      <alignment horizontal="center" vertical="center"/>
    </xf>
    <xf numFmtId="0" fontId="34" fillId="2" borderId="13" xfId="0" applyFont="1" applyFill="1" applyBorder="1" applyAlignment="1">
      <alignment horizontal="left" vertical="center" wrapText="1"/>
    </xf>
    <xf numFmtId="0" fontId="34" fillId="0" borderId="13" xfId="0" applyFont="1" applyBorder="1" applyAlignment="1">
      <alignment horizontal="justify" vertical="center"/>
    </xf>
    <xf numFmtId="1" fontId="34" fillId="0" borderId="13" xfId="0" applyNumberFormat="1" applyFont="1" applyBorder="1" applyAlignment="1">
      <alignment horizontal="right" vertical="center"/>
    </xf>
    <xf numFmtId="14" fontId="34" fillId="0" borderId="13" xfId="0" applyNumberFormat="1" applyFont="1" applyBorder="1" applyAlignment="1">
      <alignment horizontal="justify" vertical="center"/>
    </xf>
    <xf numFmtId="0" fontId="34" fillId="0" borderId="13" xfId="0" applyFont="1" applyBorder="1" applyAlignment="1">
      <alignment horizontal="center" vertical="center"/>
    </xf>
    <xf numFmtId="0" fontId="34" fillId="0" borderId="15" xfId="0" applyFont="1" applyBorder="1" applyAlignment="1">
      <alignment horizontal="justify" vertical="center"/>
    </xf>
    <xf numFmtId="0" fontId="34" fillId="0" borderId="42" xfId="0" applyFont="1" applyBorder="1" applyAlignment="1">
      <alignment horizontal="justify" vertical="center"/>
    </xf>
    <xf numFmtId="0" fontId="14" fillId="0" borderId="0" xfId="0" applyFont="1" applyBorder="1" applyAlignment="1">
      <alignment vertical="center"/>
    </xf>
    <xf numFmtId="0" fontId="34" fillId="0" borderId="41" xfId="0" applyFont="1" applyBorder="1" applyAlignment="1">
      <alignment horizontal="justify" vertical="center"/>
    </xf>
    <xf numFmtId="0" fontId="34" fillId="0" borderId="13" xfId="0" applyFont="1" applyBorder="1" applyAlignment="1">
      <alignment horizontal="center" vertical="center"/>
    </xf>
    <xf numFmtId="0" fontId="34" fillId="0" borderId="0" xfId="0" applyFont="1" applyFill="1" applyBorder="1" applyAlignment="1">
      <alignment vertical="center"/>
    </xf>
    <xf numFmtId="0" fontId="34" fillId="0" borderId="0" xfId="0" applyFont="1" applyFill="1" applyAlignment="1">
      <alignment vertical="center"/>
    </xf>
    <xf numFmtId="0" fontId="34" fillId="0" borderId="40" xfId="0" applyFont="1" applyFill="1" applyBorder="1" applyAlignment="1">
      <alignment vertical="center"/>
    </xf>
    <xf numFmtId="0" fontId="34" fillId="0" borderId="13" xfId="0" applyFont="1" applyFill="1" applyBorder="1" applyAlignment="1">
      <alignment horizontal="justify" vertical="center"/>
    </xf>
    <xf numFmtId="0" fontId="34" fillId="0" borderId="13" xfId="0" applyFont="1" applyFill="1" applyBorder="1" applyAlignment="1">
      <alignment horizontal="left" vertical="center"/>
    </xf>
    <xf numFmtId="0" fontId="34" fillId="0" borderId="13" xfId="0" applyFont="1" applyFill="1" applyBorder="1" applyAlignment="1">
      <alignment vertical="center"/>
    </xf>
    <xf numFmtId="14" fontId="34" fillId="0" borderId="13" xfId="0" applyNumberFormat="1" applyFont="1" applyFill="1" applyBorder="1" applyAlignment="1">
      <alignment vertical="center"/>
    </xf>
    <xf numFmtId="0" fontId="34" fillId="0" borderId="13" xfId="0" applyFont="1" applyFill="1" applyBorder="1" applyAlignment="1">
      <alignment horizontal="center" vertical="center"/>
    </xf>
    <xf numFmtId="0" fontId="34" fillId="0" borderId="13" xfId="0" applyFont="1" applyFill="1" applyBorder="1" applyAlignment="1">
      <alignment horizontal="left" vertical="center" wrapText="1"/>
    </xf>
    <xf numFmtId="178" fontId="34" fillId="0" borderId="13" xfId="451" applyNumberFormat="1" applyFont="1" applyFill="1" applyBorder="1" applyAlignment="1">
      <alignment vertical="center"/>
    </xf>
    <xf numFmtId="9" fontId="34" fillId="0" borderId="15" xfId="3" applyFont="1" applyFill="1" applyBorder="1" applyAlignment="1">
      <alignment vertical="center"/>
    </xf>
    <xf numFmtId="0" fontId="34" fillId="0" borderId="41" xfId="0" applyFont="1" applyFill="1" applyBorder="1" applyAlignment="1">
      <alignment vertical="center"/>
    </xf>
    <xf numFmtId="9" fontId="34" fillId="0" borderId="13" xfId="0" applyNumberFormat="1" applyFont="1" applyFill="1" applyBorder="1" applyAlignment="1">
      <alignment vertical="center"/>
    </xf>
    <xf numFmtId="0" fontId="17" fillId="0" borderId="13" xfId="0" applyFont="1" applyBorder="1" applyAlignment="1">
      <alignment horizontal="justify" vertical="top"/>
    </xf>
    <xf numFmtId="0" fontId="17" fillId="0" borderId="13" xfId="0" applyFont="1" applyBorder="1" applyAlignment="1">
      <alignment horizontal="center" vertical="top"/>
    </xf>
    <xf numFmtId="3" fontId="17" fillId="0" borderId="13" xfId="0" applyNumberFormat="1" applyFont="1" applyFill="1" applyBorder="1" applyAlignment="1">
      <alignment horizontal="right" vertical="top"/>
    </xf>
    <xf numFmtId="3" fontId="17" fillId="0" borderId="15" xfId="0" applyNumberFormat="1" applyFont="1" applyFill="1" applyBorder="1" applyAlignment="1">
      <alignment horizontal="right" vertical="top"/>
    </xf>
    <xf numFmtId="1" fontId="17" fillId="0" borderId="41" xfId="0" applyNumberFormat="1" applyFont="1" applyBorder="1" applyAlignment="1">
      <alignment horizontal="right" vertical="top"/>
    </xf>
    <xf numFmtId="0" fontId="17" fillId="0" borderId="16" xfId="0" applyFont="1" applyBorder="1" applyAlignment="1">
      <alignment horizontal="justify" vertical="top"/>
    </xf>
    <xf numFmtId="0" fontId="17" fillId="0" borderId="16" xfId="0" applyFont="1" applyBorder="1" applyAlignment="1">
      <alignment horizontal="center" vertical="top"/>
    </xf>
    <xf numFmtId="3" fontId="17" fillId="0" borderId="16" xfId="0" applyNumberFormat="1" applyFont="1" applyBorder="1" applyAlignment="1">
      <alignment vertical="top"/>
    </xf>
    <xf numFmtId="3" fontId="17" fillId="0" borderId="14" xfId="0" applyNumberFormat="1" applyFont="1" applyBorder="1" applyAlignment="1">
      <alignment vertical="top"/>
    </xf>
    <xf numFmtId="1" fontId="17" fillId="0" borderId="45" xfId="0" applyNumberFormat="1" applyFont="1" applyBorder="1" applyAlignment="1">
      <alignment horizontal="right" vertical="top"/>
    </xf>
    <xf numFmtId="0" fontId="17" fillId="0" borderId="13" xfId="0" applyFont="1" applyFill="1" applyBorder="1" applyAlignment="1">
      <alignment horizontal="left" vertical="center" wrapText="1"/>
    </xf>
    <xf numFmtId="0" fontId="17" fillId="0" borderId="13" xfId="0" applyFont="1" applyFill="1" applyBorder="1" applyAlignment="1">
      <alignment horizontal="center" vertical="center"/>
    </xf>
    <xf numFmtId="0" fontId="17" fillId="0" borderId="13" xfId="0" applyFont="1" applyFill="1" applyBorder="1" applyAlignment="1">
      <alignment horizontal="center" vertical="top" wrapText="1"/>
    </xf>
    <xf numFmtId="0" fontId="17" fillId="0" borderId="47" xfId="0" applyFont="1" applyFill="1" applyBorder="1" applyAlignment="1">
      <alignment horizontal="justify" vertical="center"/>
    </xf>
    <xf numFmtId="0" fontId="17" fillId="0" borderId="47" xfId="0" applyFont="1" applyFill="1" applyBorder="1" applyAlignment="1">
      <alignment horizontal="left" vertical="center"/>
    </xf>
    <xf numFmtId="0" fontId="17" fillId="0" borderId="47" xfId="0" applyFont="1" applyFill="1" applyBorder="1" applyAlignment="1">
      <alignment horizontal="center" vertical="center"/>
    </xf>
    <xf numFmtId="0" fontId="17" fillId="0" borderId="47" xfId="0" applyFont="1" applyFill="1" applyBorder="1" applyAlignment="1">
      <alignment horizontal="center" vertical="center"/>
    </xf>
    <xf numFmtId="0" fontId="17" fillId="0" borderId="49" xfId="0" applyFont="1" applyBorder="1"/>
    <xf numFmtId="0" fontId="36" fillId="0" borderId="37" xfId="0" applyFont="1" applyBorder="1"/>
    <xf numFmtId="0" fontId="17" fillId="0" borderId="50" xfId="0" applyFont="1" applyBorder="1"/>
    <xf numFmtId="0" fontId="17" fillId="0" borderId="13" xfId="0" applyFont="1" applyBorder="1" applyAlignment="1">
      <alignment horizontal="justify" vertical="top" wrapText="1"/>
    </xf>
    <xf numFmtId="0" fontId="17" fillId="0" borderId="17" xfId="0" applyFont="1" applyBorder="1" applyAlignment="1">
      <alignment horizontal="justify" vertical="top"/>
    </xf>
    <xf numFmtId="0" fontId="17" fillId="0" borderId="11" xfId="0" applyFont="1" applyBorder="1"/>
    <xf numFmtId="0" fontId="17" fillId="0" borderId="13" xfId="0" applyFont="1" applyBorder="1"/>
    <xf numFmtId="0" fontId="36" fillId="0" borderId="13" xfId="0" applyFont="1" applyBorder="1" applyAlignment="1">
      <alignment wrapText="1"/>
    </xf>
    <xf numFmtId="0" fontId="17" fillId="0" borderId="13" xfId="0" applyFont="1" applyBorder="1" applyAlignment="1">
      <alignment horizontal="center"/>
    </xf>
    <xf numFmtId="0" fontId="17" fillId="0" borderId="13" xfId="0" applyFont="1" applyBorder="1" applyAlignment="1">
      <alignment horizontal="center" vertical="center"/>
    </xf>
    <xf numFmtId="0" fontId="17" fillId="0" borderId="17" xfId="0" applyFont="1" applyBorder="1" applyAlignment="1">
      <alignment horizontal="center" vertical="top"/>
    </xf>
    <xf numFmtId="0" fontId="17" fillId="0" borderId="13" xfId="0" applyFont="1" applyBorder="1" applyAlignment="1">
      <alignment horizontal="left" wrapText="1"/>
    </xf>
    <xf numFmtId="15" fontId="17" fillId="0" borderId="13" xfId="0" applyNumberFormat="1" applyFont="1" applyBorder="1" applyAlignment="1">
      <alignment horizontal="center" vertical="center"/>
    </xf>
    <xf numFmtId="0" fontId="17" fillId="0" borderId="13" xfId="0" applyFont="1" applyBorder="1" applyAlignment="1">
      <alignment horizontal="center" vertical="center" wrapText="1"/>
    </xf>
    <xf numFmtId="170" fontId="17" fillId="0" borderId="13" xfId="451" applyNumberFormat="1" applyFont="1" applyBorder="1" applyAlignment="1">
      <alignment horizontal="center" vertical="center"/>
    </xf>
    <xf numFmtId="0" fontId="17" fillId="0" borderId="17" xfId="0" applyFont="1" applyBorder="1" applyAlignment="1">
      <alignment horizontal="left" vertical="top" wrapText="1"/>
    </xf>
    <xf numFmtId="17" fontId="17" fillId="0" borderId="13" xfId="0" applyNumberFormat="1" applyFont="1" applyBorder="1" applyAlignment="1">
      <alignment horizontal="center" vertical="center"/>
    </xf>
    <xf numFmtId="0" fontId="17" fillId="0" borderId="13" xfId="0" applyFont="1" applyBorder="1" applyAlignment="1">
      <alignment wrapText="1"/>
    </xf>
    <xf numFmtId="0" fontId="17" fillId="0" borderId="22" xfId="0" applyFont="1" applyBorder="1"/>
    <xf numFmtId="0" fontId="17" fillId="0" borderId="20" xfId="0" applyFont="1" applyBorder="1"/>
    <xf numFmtId="0" fontId="17" fillId="0" borderId="20" xfId="0" applyFont="1" applyBorder="1" applyAlignment="1">
      <alignment wrapText="1"/>
    </xf>
    <xf numFmtId="0" fontId="17" fillId="0" borderId="21" xfId="0" applyFont="1" applyBorder="1"/>
    <xf numFmtId="0" fontId="38" fillId="0" borderId="0" xfId="0" applyFont="1"/>
    <xf numFmtId="0" fontId="15" fillId="0" borderId="0" xfId="1" applyFont="1" applyAlignment="1">
      <alignment horizontal="left" vertical="center" indent="2"/>
    </xf>
    <xf numFmtId="0" fontId="34" fillId="0" borderId="0" xfId="1" applyFont="1" applyAlignment="1">
      <alignment horizontal="center"/>
    </xf>
    <xf numFmtId="0" fontId="34" fillId="0" borderId="0" xfId="1" applyFont="1" applyAlignment="1">
      <alignment horizontal="center" wrapText="1"/>
    </xf>
    <xf numFmtId="0" fontId="34" fillId="0" borderId="36" xfId="0" applyFont="1" applyBorder="1" applyAlignment="1">
      <alignment horizontal="center" vertical="center"/>
    </xf>
    <xf numFmtId="0" fontId="34" fillId="2" borderId="37" xfId="0" applyFont="1" applyFill="1" applyBorder="1" applyAlignment="1">
      <alignment horizontal="left" vertical="center" wrapText="1"/>
    </xf>
    <xf numFmtId="0" fontId="34" fillId="0" borderId="37" xfId="0" applyFont="1" applyBorder="1" applyAlignment="1">
      <alignment horizontal="center" vertical="center" wrapText="1"/>
    </xf>
    <xf numFmtId="173" fontId="34" fillId="0" borderId="37" xfId="4" applyNumberFormat="1" applyFont="1" applyBorder="1" applyAlignment="1">
      <alignment horizontal="right" vertical="center"/>
    </xf>
    <xf numFmtId="0" fontId="34" fillId="0" borderId="37" xfId="0" applyFont="1" applyBorder="1" applyAlignment="1">
      <alignment horizontal="justify" vertical="top" wrapText="1"/>
    </xf>
    <xf numFmtId="14" fontId="34" fillId="0" borderId="37" xfId="0" applyNumberFormat="1" applyFont="1" applyBorder="1" applyAlignment="1">
      <alignment horizontal="justify" vertical="center"/>
    </xf>
    <xf numFmtId="0" fontId="34" fillId="0" borderId="37" xfId="0" applyFont="1" applyBorder="1" applyAlignment="1">
      <alignment horizontal="center" vertical="center"/>
    </xf>
    <xf numFmtId="0" fontId="34" fillId="0" borderId="37" xfId="0" applyFont="1" applyBorder="1" applyAlignment="1">
      <alignment horizontal="justify" vertical="center"/>
    </xf>
    <xf numFmtId="0" fontId="34" fillId="0" borderId="37" xfId="0" applyFont="1" applyBorder="1" applyAlignment="1">
      <alignment vertical="center"/>
    </xf>
    <xf numFmtId="173" fontId="34" fillId="0" borderId="37" xfId="4" applyNumberFormat="1" applyFont="1" applyBorder="1" applyAlignment="1">
      <alignment vertical="center"/>
    </xf>
    <xf numFmtId="3" fontId="34" fillId="0" borderId="37" xfId="0" applyNumberFormat="1" applyFont="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wrapText="1"/>
    </xf>
    <xf numFmtId="0" fontId="17" fillId="0" borderId="13" xfId="0" applyFont="1" applyFill="1" applyBorder="1" applyAlignment="1">
      <alignment horizontal="justify" vertical="top" wrapText="1"/>
    </xf>
    <xf numFmtId="166" fontId="17" fillId="0" borderId="13" xfId="0" applyNumberFormat="1" applyFont="1" applyFill="1" applyBorder="1" applyAlignment="1">
      <alignment horizontal="center" vertical="center" wrapText="1"/>
    </xf>
    <xf numFmtId="1" fontId="34" fillId="0" borderId="13" xfId="283" applyNumberFormat="1" applyFont="1" applyFill="1" applyBorder="1" applyAlignment="1">
      <alignment horizontal="center" vertical="center" wrapText="1"/>
    </xf>
    <xf numFmtId="0" fontId="17" fillId="0" borderId="13" xfId="0" applyFont="1" applyBorder="1" applyAlignment="1">
      <alignment vertical="center" wrapText="1"/>
    </xf>
    <xf numFmtId="173" fontId="17" fillId="0" borderId="13" xfId="4" applyNumberFormat="1" applyFont="1" applyBorder="1" applyAlignment="1">
      <alignment vertical="center" wrapText="1"/>
    </xf>
    <xf numFmtId="3" fontId="17" fillId="0" borderId="13" xfId="0" applyNumberFormat="1" applyFont="1" applyBorder="1" applyAlignment="1">
      <alignment vertical="center" wrapText="1"/>
    </xf>
    <xf numFmtId="0" fontId="17" fillId="0" borderId="41" xfId="0" applyFont="1" applyBorder="1" applyAlignment="1">
      <alignment vertical="center" wrapText="1"/>
    </xf>
    <xf numFmtId="1" fontId="34" fillId="0" borderId="13" xfId="283" applyNumberFormat="1" applyFont="1" applyFill="1" applyBorder="1" applyAlignment="1">
      <alignment horizontal="justify" vertical="top" wrapText="1"/>
    </xf>
    <xf numFmtId="166" fontId="34" fillId="0" borderId="13" xfId="0" applyNumberFormat="1" applyFont="1" applyFill="1" applyBorder="1" applyAlignment="1">
      <alignment horizontal="center" vertical="center" wrapText="1"/>
    </xf>
    <xf numFmtId="166" fontId="34" fillId="0" borderId="13" xfId="0" applyNumberFormat="1" applyFont="1" applyBorder="1" applyAlignment="1">
      <alignment horizontal="justify" vertical="center"/>
    </xf>
    <xf numFmtId="0" fontId="34" fillId="0" borderId="13" xfId="0" applyFont="1" applyBorder="1" applyAlignment="1">
      <alignment vertical="center"/>
    </xf>
    <xf numFmtId="173" fontId="34" fillId="0" borderId="13" xfId="4" applyNumberFormat="1" applyFont="1" applyBorder="1" applyAlignment="1">
      <alignment vertical="center"/>
    </xf>
    <xf numFmtId="0" fontId="17" fillId="0" borderId="13" xfId="0" applyFont="1" applyBorder="1" applyAlignment="1">
      <alignment vertical="center"/>
    </xf>
    <xf numFmtId="0" fontId="17" fillId="0" borderId="13" xfId="0" applyFont="1" applyBorder="1" applyAlignment="1"/>
    <xf numFmtId="173" fontId="17" fillId="0" borderId="13" xfId="4" applyNumberFormat="1" applyFont="1" applyBorder="1" applyAlignment="1">
      <alignment vertical="center"/>
    </xf>
    <xf numFmtId="0" fontId="17" fillId="0" borderId="41" xfId="0" applyFont="1" applyBorder="1" applyAlignment="1">
      <alignment wrapText="1"/>
    </xf>
    <xf numFmtId="0" fontId="17" fillId="0" borderId="13" xfId="0" applyFont="1" applyFill="1" applyBorder="1" applyAlignment="1">
      <alignment horizontal="center" vertical="center" wrapText="1"/>
    </xf>
    <xf numFmtId="1" fontId="17" fillId="0" borderId="13" xfId="283" applyNumberFormat="1" applyFont="1" applyFill="1" applyBorder="1" applyAlignment="1">
      <alignment horizontal="justify" vertical="top" wrapText="1"/>
    </xf>
    <xf numFmtId="1" fontId="34" fillId="2" borderId="13" xfId="283" applyNumberFormat="1" applyFont="1" applyFill="1" applyBorder="1" applyAlignment="1">
      <alignment horizontal="center" vertical="center" wrapText="1"/>
    </xf>
    <xf numFmtId="0" fontId="17" fillId="2" borderId="13" xfId="0" applyFont="1" applyFill="1" applyBorder="1" applyAlignment="1">
      <alignment horizontal="center" vertical="center" wrapText="1"/>
    </xf>
    <xf numFmtId="9" fontId="17" fillId="2" borderId="13" xfId="3" applyFont="1" applyFill="1" applyBorder="1" applyAlignment="1">
      <alignment vertical="center" wrapText="1"/>
    </xf>
    <xf numFmtId="3" fontId="17" fillId="2" borderId="13" xfId="0" applyNumberFormat="1" applyFont="1" applyFill="1" applyBorder="1" applyAlignment="1">
      <alignment vertical="center" wrapText="1"/>
    </xf>
    <xf numFmtId="0" fontId="17" fillId="0" borderId="41" xfId="0" applyFont="1" applyBorder="1" applyAlignment="1">
      <alignment horizontal="justify" vertical="center"/>
    </xf>
    <xf numFmtId="3" fontId="34" fillId="2" borderId="13" xfId="283" applyNumberFormat="1" applyFont="1" applyFill="1" applyBorder="1" applyAlignment="1">
      <alignment horizontal="center" vertical="center" wrapText="1"/>
    </xf>
    <xf numFmtId="0" fontId="17" fillId="0" borderId="41" xfId="0" applyFont="1" applyBorder="1" applyAlignment="1">
      <alignment horizontal="justify" vertical="center" wrapText="1"/>
    </xf>
    <xf numFmtId="0" fontId="17" fillId="0" borderId="13" xfId="0" applyFont="1" applyFill="1" applyBorder="1" applyAlignment="1">
      <alignment horizontal="center" wrapText="1"/>
    </xf>
    <xf numFmtId="0" fontId="17" fillId="0" borderId="13" xfId="0" applyFont="1" applyBorder="1" applyAlignment="1">
      <alignment horizontal="center" vertical="top" wrapText="1"/>
    </xf>
    <xf numFmtId="0" fontId="17" fillId="0" borderId="41" xfId="0" quotePrefix="1" applyFont="1" applyBorder="1" applyAlignment="1">
      <alignment horizontal="justify" vertical="center" wrapText="1"/>
    </xf>
    <xf numFmtId="175" fontId="17" fillId="0" borderId="40" xfId="451" applyNumberFormat="1" applyFont="1" applyBorder="1" applyAlignment="1">
      <alignment horizontal="center" vertical="center"/>
    </xf>
    <xf numFmtId="1" fontId="34" fillId="2" borderId="13" xfId="283" applyNumberFormat="1" applyFont="1" applyFill="1" applyBorder="1" applyAlignment="1" applyProtection="1">
      <alignment horizontal="left" vertical="center" wrapText="1"/>
      <protection locked="0"/>
    </xf>
    <xf numFmtId="173" fontId="17" fillId="0" borderId="13" xfId="4" applyNumberFormat="1" applyFont="1" applyFill="1" applyBorder="1" applyAlignment="1">
      <alignment horizontal="right" vertical="center" wrapText="1"/>
    </xf>
    <xf numFmtId="181" fontId="34" fillId="0" borderId="13" xfId="0" applyNumberFormat="1" applyFont="1" applyFill="1" applyBorder="1" applyAlignment="1">
      <alignment horizontal="center" vertical="center" wrapText="1"/>
    </xf>
    <xf numFmtId="2" fontId="34" fillId="0" borderId="13" xfId="0" applyNumberFormat="1" applyFont="1" applyBorder="1" applyAlignment="1">
      <alignment horizontal="justify" vertical="top" wrapText="1"/>
    </xf>
    <xf numFmtId="181" fontId="17" fillId="0" borderId="13" xfId="0" applyNumberFormat="1" applyFont="1" applyBorder="1"/>
    <xf numFmtId="2" fontId="34" fillId="0" borderId="13" xfId="0" applyNumberFormat="1" applyFont="1" applyBorder="1" applyAlignment="1">
      <alignment horizontal="justify" vertical="center"/>
    </xf>
    <xf numFmtId="2" fontId="34" fillId="0" borderId="41" xfId="0" applyNumberFormat="1" applyFont="1" applyBorder="1" applyAlignment="1">
      <alignment horizontal="justify" vertical="center"/>
    </xf>
    <xf numFmtId="173" fontId="34" fillId="0" borderId="13" xfId="4" applyNumberFormat="1" applyFont="1" applyBorder="1" applyAlignment="1">
      <alignment horizontal="justify" vertical="center"/>
    </xf>
    <xf numFmtId="0" fontId="39" fillId="0" borderId="53" xfId="0" applyFont="1" applyBorder="1" applyAlignment="1">
      <alignment vertical="top" wrapText="1"/>
    </xf>
    <xf numFmtId="2" fontId="34" fillId="0" borderId="41" xfId="0" applyNumberFormat="1" applyFont="1" applyBorder="1" applyAlignment="1">
      <alignment horizontal="justify" vertical="top"/>
    </xf>
    <xf numFmtId="173" fontId="34" fillId="0" borderId="13" xfId="4" applyNumberFormat="1" applyFont="1" applyBorder="1" applyAlignment="1">
      <alignment horizontal="right" vertical="center"/>
    </xf>
    <xf numFmtId="0" fontId="34" fillId="0" borderId="13" xfId="0" applyNumberFormat="1" applyFont="1" applyBorder="1" applyAlignment="1">
      <alignment horizontal="justify" vertical="top"/>
    </xf>
    <xf numFmtId="9" fontId="34" fillId="0" borderId="13" xfId="0" applyNumberFormat="1" applyFont="1" applyBorder="1" applyAlignment="1">
      <alignment horizontal="justify" vertical="center"/>
    </xf>
    <xf numFmtId="0" fontId="34" fillId="0" borderId="41" xfId="0" applyFont="1" applyBorder="1" applyAlignment="1">
      <alignment horizontal="justify" vertical="top" wrapText="1"/>
    </xf>
    <xf numFmtId="0" fontId="34" fillId="0" borderId="40" xfId="0" applyFont="1" applyBorder="1" applyAlignment="1">
      <alignment horizontal="justify" vertical="center"/>
    </xf>
    <xf numFmtId="0" fontId="34" fillId="2" borderId="13" xfId="0" applyFont="1" applyFill="1" applyBorder="1" applyAlignment="1">
      <alignment horizontal="left" vertical="center"/>
    </xf>
    <xf numFmtId="0" fontId="34" fillId="2" borderId="13" xfId="0" applyFont="1" applyFill="1" applyBorder="1" applyAlignment="1">
      <alignment horizontal="justify" vertical="center"/>
    </xf>
    <xf numFmtId="0" fontId="34" fillId="0" borderId="13" xfId="0" applyFont="1" applyBorder="1" applyAlignment="1">
      <alignment horizontal="justify" vertical="top" wrapText="1"/>
    </xf>
    <xf numFmtId="14" fontId="34" fillId="0" borderId="13" xfId="0" applyNumberFormat="1" applyFont="1" applyBorder="1" applyAlignment="1">
      <alignment horizontal="justify" vertical="top"/>
    </xf>
    <xf numFmtId="0" fontId="34" fillId="0" borderId="47" xfId="0" applyFont="1" applyBorder="1" applyAlignment="1">
      <alignment horizontal="justify" vertical="top" wrapText="1"/>
    </xf>
    <xf numFmtId="14" fontId="34" fillId="0" borderId="47" xfId="0" applyNumberFormat="1" applyFont="1" applyBorder="1" applyAlignment="1">
      <alignment horizontal="justify" vertical="top"/>
    </xf>
    <xf numFmtId="0" fontId="17" fillId="0" borderId="0" xfId="0" applyFont="1" applyAlignment="1">
      <alignment wrapText="1"/>
    </xf>
    <xf numFmtId="0" fontId="34" fillId="0" borderId="17" xfId="0" applyFont="1" applyBorder="1" applyAlignment="1">
      <alignment horizontal="center" vertical="top"/>
    </xf>
    <xf numFmtId="0" fontId="34" fillId="0" borderId="56" xfId="0" applyFont="1" applyBorder="1" applyAlignment="1">
      <alignment horizontal="center" vertical="top"/>
    </xf>
    <xf numFmtId="173" fontId="17" fillId="0" borderId="54" xfId="4" applyNumberFormat="1" applyFont="1" applyFill="1" applyBorder="1" applyAlignment="1">
      <alignment horizontal="center" vertical="center"/>
    </xf>
    <xf numFmtId="173" fontId="17" fillId="0" borderId="57" xfId="4" applyNumberFormat="1" applyFont="1" applyFill="1" applyBorder="1" applyAlignment="1">
      <alignment horizontal="center" vertical="center"/>
    </xf>
    <xf numFmtId="4" fontId="34" fillId="0" borderId="11" xfId="0" applyNumberFormat="1" applyFont="1" applyFill="1" applyBorder="1" applyAlignment="1">
      <alignment horizontal="center" vertical="top"/>
    </xf>
    <xf numFmtId="4" fontId="34" fillId="0" borderId="58" xfId="0" applyNumberFormat="1" applyFont="1" applyFill="1" applyBorder="1" applyAlignment="1">
      <alignment horizontal="center" vertical="top"/>
    </xf>
    <xf numFmtId="9" fontId="34" fillId="0" borderId="13" xfId="3" applyFont="1" applyFill="1" applyBorder="1" applyAlignment="1">
      <alignment horizontal="center" vertical="top"/>
    </xf>
    <xf numFmtId="9" fontId="34" fillId="0" borderId="47" xfId="3" applyFont="1" applyFill="1" applyBorder="1" applyAlignment="1">
      <alignment horizontal="center" vertical="top"/>
    </xf>
    <xf numFmtId="0" fontId="34" fillId="0" borderId="41" xfId="0" applyFont="1" applyBorder="1" applyAlignment="1">
      <alignment horizontal="left" vertical="top" wrapText="1"/>
    </xf>
    <xf numFmtId="0" fontId="34" fillId="0" borderId="48" xfId="0" applyFont="1" applyBorder="1" applyAlignment="1">
      <alignment horizontal="left" vertical="top" wrapText="1"/>
    </xf>
    <xf numFmtId="173" fontId="34" fillId="0" borderId="16" xfId="4" applyNumberFormat="1" applyFont="1" applyBorder="1" applyAlignment="1">
      <alignment horizontal="center" vertical="center"/>
    </xf>
    <xf numFmtId="173" fontId="34" fillId="0" borderId="55" xfId="4" applyNumberFormat="1" applyFont="1" applyBorder="1" applyAlignment="1">
      <alignment horizontal="center" vertical="center"/>
    </xf>
    <xf numFmtId="0" fontId="34" fillId="0" borderId="13" xfId="0" applyFont="1" applyBorder="1" applyAlignment="1">
      <alignment horizontal="justify" vertical="top" wrapText="1"/>
    </xf>
    <xf numFmtId="0" fontId="34" fillId="0" borderId="47" xfId="0" applyFont="1" applyBorder="1" applyAlignment="1">
      <alignment horizontal="justify" vertical="top" wrapText="1"/>
    </xf>
    <xf numFmtId="0" fontId="34" fillId="0" borderId="13" xfId="0" applyFont="1" applyBorder="1" applyAlignment="1">
      <alignment horizontal="center" vertical="center"/>
    </xf>
    <xf numFmtId="0" fontId="34" fillId="0" borderId="47" xfId="0" applyFont="1" applyBorder="1" applyAlignment="1">
      <alignment horizontal="center" vertical="center"/>
    </xf>
    <xf numFmtId="0" fontId="34" fillId="0" borderId="13" xfId="0" applyFont="1" applyBorder="1" applyAlignment="1">
      <alignment horizontal="center" vertical="center" wrapText="1"/>
    </xf>
    <xf numFmtId="0" fontId="34" fillId="0" borderId="47" xfId="0" applyFont="1" applyBorder="1" applyAlignment="1">
      <alignment horizontal="center" vertical="center" wrapText="1"/>
    </xf>
    <xf numFmtId="0" fontId="34" fillId="0" borderId="13" xfId="0" applyFont="1" applyBorder="1" applyAlignment="1">
      <alignment horizontal="left" vertical="top" wrapText="1"/>
    </xf>
    <xf numFmtId="0" fontId="34" fillId="0" borderId="47" xfId="0" applyFont="1" applyBorder="1" applyAlignment="1">
      <alignment horizontal="left" vertical="top"/>
    </xf>
    <xf numFmtId="0" fontId="34" fillId="0" borderId="13" xfId="0" applyFont="1" applyBorder="1" applyAlignment="1">
      <alignment horizontal="center" vertical="top"/>
    </xf>
    <xf numFmtId="0" fontId="34" fillId="0" borderId="47" xfId="0" applyFont="1" applyBorder="1" applyAlignment="1">
      <alignment horizontal="center" vertical="top"/>
    </xf>
    <xf numFmtId="175" fontId="17" fillId="0" borderId="40" xfId="451" applyNumberFormat="1" applyFont="1" applyBorder="1" applyAlignment="1">
      <alignment horizontal="center" vertical="center"/>
    </xf>
    <xf numFmtId="0" fontId="34" fillId="2" borderId="13" xfId="0" applyFont="1" applyFill="1" applyBorder="1" applyAlignment="1">
      <alignment horizontal="left" vertical="center"/>
    </xf>
    <xf numFmtId="0" fontId="34" fillId="0" borderId="40" xfId="0" applyFont="1" applyBorder="1" applyAlignment="1">
      <alignment horizontal="center" vertical="center" wrapText="1"/>
    </xf>
    <xf numFmtId="0" fontId="34" fillId="0" borderId="40" xfId="0" applyFont="1" applyBorder="1" applyAlignment="1">
      <alignment horizontal="center" vertical="center"/>
    </xf>
    <xf numFmtId="0" fontId="34" fillId="0" borderId="46" xfId="0" applyFont="1" applyBorder="1" applyAlignment="1">
      <alignment horizontal="center" vertical="center"/>
    </xf>
    <xf numFmtId="0" fontId="34" fillId="2" borderId="13" xfId="0" applyFont="1" applyFill="1" applyBorder="1" applyAlignment="1">
      <alignment horizontal="left" vertical="center" wrapText="1"/>
    </xf>
    <xf numFmtId="0" fontId="34" fillId="2" borderId="47" xfId="0" applyFont="1" applyFill="1" applyBorder="1" applyAlignment="1">
      <alignment horizontal="left" vertical="center" wrapText="1"/>
    </xf>
    <xf numFmtId="0" fontId="34" fillId="0" borderId="16" xfId="0" applyFont="1" applyBorder="1" applyAlignment="1">
      <alignment horizontal="center" vertical="center"/>
    </xf>
    <xf numFmtId="0" fontId="34" fillId="0" borderId="55" xfId="0" applyFont="1" applyBorder="1" applyAlignment="1">
      <alignment horizontal="center" vertical="center"/>
    </xf>
    <xf numFmtId="1" fontId="34" fillId="2" borderId="13" xfId="283" applyNumberFormat="1" applyFont="1" applyFill="1" applyBorder="1" applyAlignment="1" applyProtection="1">
      <alignment horizontal="left" vertical="center" wrapText="1"/>
      <protection locked="0"/>
    </xf>
    <xf numFmtId="0" fontId="17" fillId="0" borderId="13" xfId="0" applyFont="1" applyFill="1" applyBorder="1" applyAlignment="1">
      <alignment horizontal="center" vertical="center" wrapText="1"/>
    </xf>
    <xf numFmtId="173" fontId="17" fillId="2" borderId="13" xfId="4" applyNumberFormat="1" applyFont="1" applyFill="1" applyBorder="1" applyAlignment="1">
      <alignment horizontal="right" vertical="center" wrapText="1"/>
    </xf>
    <xf numFmtId="175" fontId="17" fillId="0" borderId="44" xfId="451" applyNumberFormat="1" applyFont="1" applyBorder="1" applyAlignment="1">
      <alignment horizontal="center" vertical="center"/>
    </xf>
    <xf numFmtId="175" fontId="17" fillId="0" borderId="51" xfId="451" applyNumberFormat="1" applyFont="1" applyBorder="1" applyAlignment="1">
      <alignment horizontal="center" vertical="center"/>
    </xf>
    <xf numFmtId="175" fontId="17" fillId="0" borderId="52" xfId="451" applyNumberFormat="1" applyFont="1" applyBorder="1" applyAlignment="1">
      <alignment horizontal="center" vertical="center"/>
    </xf>
    <xf numFmtId="2" fontId="34" fillId="2" borderId="16" xfId="0" applyNumberFormat="1" applyFont="1" applyFill="1" applyBorder="1" applyAlignment="1">
      <alignment horizontal="left" vertical="center" wrapText="1"/>
    </xf>
    <xf numFmtId="2" fontId="34" fillId="2" borderId="25" xfId="0" applyNumberFormat="1" applyFont="1" applyFill="1" applyBorder="1" applyAlignment="1">
      <alignment horizontal="left" vertical="center" wrapText="1"/>
    </xf>
    <xf numFmtId="2" fontId="34" fillId="2" borderId="18" xfId="0" applyNumberFormat="1" applyFont="1" applyFill="1" applyBorder="1" applyAlignment="1">
      <alignment horizontal="left" vertical="center" wrapText="1"/>
    </xf>
    <xf numFmtId="2" fontId="34" fillId="0" borderId="16" xfId="0" applyNumberFormat="1" applyFont="1" applyBorder="1" applyAlignment="1">
      <alignment horizontal="center" vertical="center" wrapText="1"/>
    </xf>
    <xf numFmtId="2" fontId="34" fillId="0" borderId="25" xfId="0" applyNumberFormat="1" applyFont="1" applyBorder="1" applyAlignment="1">
      <alignment horizontal="center" vertical="center" wrapText="1"/>
    </xf>
    <xf numFmtId="2" fontId="34" fillId="0" borderId="18" xfId="0" applyNumberFormat="1" applyFont="1" applyBorder="1" applyAlignment="1">
      <alignment horizontal="center" vertical="center" wrapText="1"/>
    </xf>
    <xf numFmtId="173" fontId="34" fillId="0" borderId="25" xfId="4" applyNumberFormat="1" applyFont="1" applyBorder="1" applyAlignment="1">
      <alignment horizontal="center" vertical="center"/>
    </xf>
    <xf numFmtId="173" fontId="34" fillId="0" borderId="18" xfId="4" applyNumberFormat="1" applyFont="1" applyBorder="1" applyAlignment="1">
      <alignment horizontal="center" vertical="center"/>
    </xf>
    <xf numFmtId="0" fontId="15" fillId="4" borderId="7" xfId="2" applyFont="1" applyFill="1" applyBorder="1" applyAlignment="1">
      <alignment horizontal="center" vertical="center" wrapText="1"/>
    </xf>
    <xf numFmtId="0" fontId="15" fillId="4" borderId="23" xfId="2" applyFont="1" applyFill="1" applyBorder="1" applyAlignment="1">
      <alignment horizontal="center" vertical="center" wrapText="1"/>
    </xf>
    <xf numFmtId="0" fontId="15" fillId="4" borderId="6" xfId="1" applyFont="1" applyFill="1" applyBorder="1" applyAlignment="1">
      <alignment horizontal="center" vertical="center" wrapText="1"/>
    </xf>
    <xf numFmtId="0" fontId="16" fillId="4" borderId="6" xfId="0" applyFont="1" applyFill="1" applyBorder="1" applyAlignment="1">
      <alignment horizontal="center" vertical="center" wrapText="1"/>
    </xf>
    <xf numFmtId="0" fontId="15" fillId="4" borderId="6" xfId="1" applyFont="1" applyFill="1" applyBorder="1" applyAlignment="1">
      <alignment horizontal="center" vertical="center"/>
    </xf>
    <xf numFmtId="0" fontId="16" fillId="4" borderId="6" xfId="0" applyFont="1" applyFill="1" applyBorder="1" applyAlignment="1">
      <alignment horizontal="center" vertical="center"/>
    </xf>
    <xf numFmtId="0" fontId="15" fillId="4" borderId="7" xfId="0" applyFont="1" applyFill="1" applyBorder="1" applyAlignment="1">
      <alignment horizontal="center" vertical="center" wrapText="1"/>
    </xf>
    <xf numFmtId="0" fontId="15" fillId="4" borderId="23" xfId="0" applyFont="1" applyFill="1" applyBorder="1" applyAlignment="1">
      <alignment horizontal="center" vertical="center" wrapText="1"/>
    </xf>
    <xf numFmtId="175" fontId="34" fillId="0" borderId="40" xfId="451" applyNumberFormat="1" applyFont="1" applyBorder="1" applyAlignment="1">
      <alignment horizontal="center" vertical="center"/>
    </xf>
    <xf numFmtId="173" fontId="17" fillId="0" borderId="13" xfId="4" applyNumberFormat="1" applyFont="1" applyFill="1" applyBorder="1" applyAlignment="1">
      <alignment horizontal="right" vertical="center" wrapText="1"/>
    </xf>
    <xf numFmtId="0" fontId="37" fillId="0" borderId="0" xfId="1" applyFont="1" applyAlignment="1">
      <alignment horizontal="center"/>
    </xf>
    <xf numFmtId="0" fontId="37" fillId="0" borderId="0" xfId="0" applyFont="1" applyAlignment="1">
      <alignment horizontal="center"/>
    </xf>
    <xf numFmtId="0" fontId="37" fillId="0" borderId="0" xfId="1" applyFont="1" applyAlignment="1">
      <alignment horizontal="center" vertical="center"/>
    </xf>
    <xf numFmtId="0" fontId="15" fillId="4" borderId="8" xfId="2" applyFont="1" applyFill="1" applyBorder="1" applyAlignment="1">
      <alignment horizontal="center" vertical="center" wrapText="1"/>
    </xf>
    <xf numFmtId="0" fontId="15" fillId="4" borderId="9" xfId="2" applyFont="1" applyFill="1" applyBorder="1" applyAlignment="1">
      <alignment horizontal="center" vertical="center" wrapText="1"/>
    </xf>
    <xf numFmtId="0" fontId="12" fillId="0" borderId="0" xfId="1" applyFont="1" applyAlignment="1">
      <alignment horizontal="center"/>
    </xf>
    <xf numFmtId="0" fontId="12" fillId="0" borderId="0" xfId="0" applyFont="1" applyAlignment="1">
      <alignment horizontal="center"/>
    </xf>
    <xf numFmtId="0" fontId="12" fillId="0" borderId="0" xfId="1" applyFont="1" applyAlignment="1">
      <alignment horizontal="center" vertical="center"/>
    </xf>
    <xf numFmtId="0" fontId="17" fillId="0" borderId="13" xfId="0" applyFont="1" applyFill="1" applyBorder="1" applyAlignment="1">
      <alignment horizontal="center" vertical="center"/>
    </xf>
    <xf numFmtId="0" fontId="17" fillId="0" borderId="47" xfId="0" applyFont="1" applyFill="1" applyBorder="1" applyAlignment="1">
      <alignment horizontal="center" vertical="center"/>
    </xf>
    <xf numFmtId="0" fontId="17" fillId="0" borderId="13" xfId="0" applyFont="1" applyFill="1" applyBorder="1" applyAlignment="1">
      <alignment horizontal="right" vertical="center"/>
    </xf>
    <xf numFmtId="0" fontId="17" fillId="0" borderId="47" xfId="0" applyFont="1" applyFill="1" applyBorder="1" applyAlignment="1">
      <alignment horizontal="right" vertical="center"/>
    </xf>
    <xf numFmtId="0" fontId="17" fillId="0" borderId="41" xfId="0" applyNumberFormat="1" applyFont="1" applyFill="1" applyBorder="1" applyAlignment="1">
      <alignment horizontal="left" vertical="top" wrapText="1"/>
    </xf>
    <xf numFmtId="0" fontId="17" fillId="0" borderId="48" xfId="0" applyNumberFormat="1" applyFont="1" applyFill="1" applyBorder="1" applyAlignment="1">
      <alignment horizontal="left" vertical="top" wrapText="1"/>
    </xf>
    <xf numFmtId="0" fontId="17" fillId="0" borderId="40" xfId="0" applyFont="1" applyFill="1" applyBorder="1" applyAlignment="1">
      <alignment horizontal="center" vertical="center"/>
    </xf>
    <xf numFmtId="0" fontId="17" fillId="0" borderId="46" xfId="0" applyFont="1" applyFill="1" applyBorder="1" applyAlignment="1">
      <alignment horizontal="center" vertical="center"/>
    </xf>
    <xf numFmtId="0" fontId="17" fillId="0" borderId="13" xfId="0" applyFont="1" applyFill="1" applyBorder="1" applyAlignment="1">
      <alignment horizontal="left" vertical="center"/>
    </xf>
    <xf numFmtId="0" fontId="17" fillId="0" borderId="47" xfId="0" applyFont="1" applyFill="1" applyBorder="1" applyAlignment="1">
      <alignment horizontal="left" vertical="center"/>
    </xf>
    <xf numFmtId="175" fontId="17" fillId="0" borderId="13" xfId="451" applyNumberFormat="1" applyFont="1" applyFill="1" applyBorder="1" applyAlignment="1">
      <alignment horizontal="center" vertical="center"/>
    </xf>
    <xf numFmtId="175" fontId="17" fillId="0" borderId="47" xfId="451" applyNumberFormat="1" applyFont="1" applyFill="1" applyBorder="1" applyAlignment="1">
      <alignment horizontal="center" vertical="center"/>
    </xf>
    <xf numFmtId="0" fontId="17" fillId="0" borderId="13" xfId="0" applyFont="1" applyBorder="1" applyAlignment="1">
      <alignment horizontal="center" vertical="center"/>
    </xf>
    <xf numFmtId="0" fontId="17" fillId="0" borderId="16" xfId="0" applyFont="1" applyBorder="1" applyAlignment="1">
      <alignment horizontal="center" vertical="center"/>
    </xf>
    <xf numFmtId="0" fontId="17" fillId="0" borderId="13" xfId="0" applyFont="1" applyBorder="1" applyAlignment="1">
      <alignment horizontal="center" vertical="top"/>
    </xf>
    <xf numFmtId="0" fontId="17" fillId="0" borderId="16" xfId="0" applyFont="1" applyBorder="1" applyAlignment="1">
      <alignment horizontal="center" vertical="top"/>
    </xf>
    <xf numFmtId="9" fontId="34" fillId="0" borderId="13" xfId="3" applyFont="1" applyFill="1" applyBorder="1" applyAlignment="1">
      <alignment horizontal="center" vertical="center"/>
    </xf>
    <xf numFmtId="4" fontId="34" fillId="0" borderId="13" xfId="0" applyNumberFormat="1" applyFont="1" applyFill="1" applyBorder="1" applyAlignment="1">
      <alignment vertical="center"/>
    </xf>
    <xf numFmtId="0" fontId="34" fillId="0" borderId="13" xfId="0" applyFont="1" applyFill="1" applyBorder="1" applyAlignment="1">
      <alignment horizontal="center" vertical="center"/>
    </xf>
    <xf numFmtId="179" fontId="34" fillId="0" borderId="15" xfId="3" applyNumberFormat="1" applyFont="1" applyFill="1" applyBorder="1" applyAlignment="1">
      <alignment horizontal="center" vertical="center"/>
    </xf>
    <xf numFmtId="0" fontId="34" fillId="0" borderId="43" xfId="0" applyFont="1" applyFill="1" applyBorder="1" applyAlignment="1">
      <alignment horizontal="left" vertical="center" wrapText="1"/>
    </xf>
    <xf numFmtId="0" fontId="17" fillId="0" borderId="40" xfId="0" applyFont="1" applyBorder="1" applyAlignment="1">
      <alignment horizontal="center" vertical="center"/>
    </xf>
    <xf numFmtId="0" fontId="17" fillId="0" borderId="44" xfId="0" applyFont="1" applyBorder="1" applyAlignment="1">
      <alignment horizontal="center" vertical="center"/>
    </xf>
    <xf numFmtId="0" fontId="17" fillId="0" borderId="13" xfId="0" applyFont="1" applyBorder="1" applyAlignment="1">
      <alignment horizontal="left" vertical="center" wrapText="1"/>
    </xf>
    <xf numFmtId="0" fontId="17" fillId="0" borderId="16" xfId="0" applyFont="1" applyBorder="1" applyAlignment="1">
      <alignment horizontal="left" vertical="center" wrapText="1"/>
    </xf>
    <xf numFmtId="3" fontId="17" fillId="0" borderId="13" xfId="0" applyNumberFormat="1" applyFont="1" applyBorder="1" applyAlignment="1">
      <alignment horizontal="right" vertical="center"/>
    </xf>
    <xf numFmtId="3" fontId="17" fillId="0" borderId="16" xfId="0" applyNumberFormat="1" applyFont="1" applyBorder="1" applyAlignment="1">
      <alignment horizontal="right" vertical="center"/>
    </xf>
    <xf numFmtId="180" fontId="17" fillId="0" borderId="13" xfId="0" applyNumberFormat="1" applyFont="1" applyBorder="1" applyAlignment="1">
      <alignment horizontal="center" vertical="center"/>
    </xf>
    <xf numFmtId="180" fontId="17" fillId="0" borderId="16" xfId="0" applyNumberFormat="1" applyFont="1" applyBorder="1" applyAlignment="1">
      <alignment horizontal="center" vertical="center"/>
    </xf>
    <xf numFmtId="14" fontId="34" fillId="0" borderId="13" xfId="0" applyNumberFormat="1" applyFont="1" applyFill="1" applyBorder="1" applyAlignment="1">
      <alignment horizontal="center" vertical="center"/>
    </xf>
    <xf numFmtId="3" fontId="34" fillId="0" borderId="13" xfId="451" applyNumberFormat="1" applyFont="1" applyFill="1" applyBorder="1" applyAlignment="1">
      <alignment horizontal="left" vertical="center"/>
    </xf>
    <xf numFmtId="0" fontId="34" fillId="0" borderId="13" xfId="0" applyFont="1" applyFill="1" applyBorder="1" applyAlignment="1">
      <alignment horizontal="left" vertical="center"/>
    </xf>
    <xf numFmtId="3" fontId="34" fillId="0" borderId="13" xfId="451" applyNumberFormat="1" applyFont="1" applyFill="1" applyBorder="1" applyAlignment="1">
      <alignment horizontal="center" vertical="center"/>
    </xf>
    <xf numFmtId="0" fontId="34" fillId="0" borderId="40" xfId="0" applyFont="1" applyFill="1" applyBorder="1" applyAlignment="1">
      <alignment horizontal="center" vertical="center"/>
    </xf>
    <xf numFmtId="0" fontId="34" fillId="0" borderId="13" xfId="0" applyFont="1" applyFill="1" applyBorder="1" applyAlignment="1">
      <alignment horizontal="left" vertical="center" wrapText="1"/>
    </xf>
    <xf numFmtId="4" fontId="34" fillId="0" borderId="13" xfId="0" applyNumberFormat="1" applyFont="1" applyFill="1" applyBorder="1" applyAlignment="1">
      <alignment horizontal="right" vertical="center"/>
    </xf>
    <xf numFmtId="0" fontId="34" fillId="0" borderId="13" xfId="0" applyFont="1" applyFill="1" applyBorder="1" applyAlignment="1">
      <alignment vertical="center" wrapText="1"/>
    </xf>
    <xf numFmtId="14" fontId="34" fillId="0" borderId="13" xfId="0" applyNumberFormat="1" applyFont="1" applyFill="1" applyBorder="1" applyAlignment="1">
      <alignment horizontal="center" vertical="center" wrapText="1"/>
    </xf>
    <xf numFmtId="9" fontId="34" fillId="0" borderId="15" xfId="3" applyFont="1" applyFill="1" applyBorder="1" applyAlignment="1">
      <alignment horizontal="center" vertical="center"/>
    </xf>
    <xf numFmtId="0" fontId="17" fillId="0" borderId="41" xfId="451" applyNumberFormat="1" applyFont="1" applyFill="1" applyBorder="1" applyAlignment="1">
      <alignment horizontal="justify" vertical="top" wrapText="1"/>
    </xf>
    <xf numFmtId="3" fontId="34" fillId="0" borderId="13" xfId="0" applyNumberFormat="1" applyFont="1" applyFill="1" applyBorder="1" applyAlignment="1">
      <alignment horizontal="center" vertical="center"/>
    </xf>
    <xf numFmtId="0" fontId="17" fillId="0" borderId="37" xfId="0" applyFont="1" applyFill="1" applyBorder="1" applyAlignment="1">
      <alignment horizontal="center" vertical="center"/>
    </xf>
    <xf numFmtId="0" fontId="0" fillId="0" borderId="13" xfId="0" applyFont="1" applyBorder="1" applyAlignment="1">
      <alignment horizontal="center" vertical="center"/>
    </xf>
    <xf numFmtId="14" fontId="17" fillId="0" borderId="37" xfId="0" applyNumberFormat="1" applyFont="1" applyFill="1" applyBorder="1" applyAlignment="1">
      <alignment horizontal="center" vertical="center"/>
    </xf>
    <xf numFmtId="14" fontId="0" fillId="0" borderId="13" xfId="0" applyNumberFormat="1" applyFont="1" applyBorder="1" applyAlignment="1">
      <alignment horizontal="center" vertical="center"/>
    </xf>
    <xf numFmtId="3" fontId="34" fillId="0" borderId="13" xfId="0" applyNumberFormat="1" applyFont="1" applyFill="1" applyBorder="1" applyAlignment="1">
      <alignment horizontal="right" vertical="center"/>
    </xf>
    <xf numFmtId="0" fontId="15" fillId="4" borderId="10" xfId="2"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xf>
    <xf numFmtId="0" fontId="15" fillId="4" borderId="33"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17" fillId="0" borderId="36" xfId="0" applyFont="1" applyFill="1" applyBorder="1" applyAlignment="1">
      <alignment horizontal="center" vertical="center"/>
    </xf>
    <xf numFmtId="0" fontId="0" fillId="0" borderId="40" xfId="0" applyFont="1" applyBorder="1" applyAlignment="1">
      <alignment horizontal="center" vertical="center"/>
    </xf>
    <xf numFmtId="0" fontId="36" fillId="0" borderId="37" xfId="0" applyFont="1" applyFill="1" applyBorder="1" applyAlignment="1">
      <alignment horizontal="justify" vertical="center"/>
    </xf>
    <xf numFmtId="0" fontId="33" fillId="0" borderId="13" xfId="0" applyFont="1" applyBorder="1" applyAlignment="1">
      <alignment horizontal="justify" vertical="center"/>
    </xf>
    <xf numFmtId="0" fontId="17" fillId="0" borderId="37" xfId="0" applyFont="1" applyFill="1" applyBorder="1" applyAlignment="1">
      <alignment horizontal="justify" vertical="center"/>
    </xf>
    <xf numFmtId="0" fontId="0" fillId="0" borderId="13" xfId="0" applyFont="1" applyBorder="1" applyAlignment="1">
      <alignment horizontal="justify" vertical="center"/>
    </xf>
    <xf numFmtId="0" fontId="34" fillId="0" borderId="27" xfId="0" applyFont="1" applyBorder="1" applyAlignment="1">
      <alignment horizontal="center" vertical="center" wrapText="1"/>
    </xf>
    <xf numFmtId="0" fontId="34" fillId="0" borderId="26" xfId="0" applyFont="1" applyBorder="1" applyAlignment="1">
      <alignment horizontal="center" vertical="center" wrapText="1"/>
    </xf>
    <xf numFmtId="0" fontId="34" fillId="2" borderId="16" xfId="0" applyFont="1" applyFill="1" applyBorder="1" applyAlignment="1">
      <alignment horizontal="center" vertical="center" wrapText="1"/>
    </xf>
    <xf numFmtId="0" fontId="34" fillId="2" borderId="18" xfId="0" applyFont="1" applyFill="1" applyBorder="1" applyAlignment="1">
      <alignment horizontal="center" vertical="center" wrapText="1"/>
    </xf>
    <xf numFmtId="0" fontId="13" fillId="4" borderId="6" xfId="1" applyFont="1" applyFill="1" applyBorder="1" applyAlignment="1">
      <alignment vertical="center"/>
    </xf>
    <xf numFmtId="0" fontId="24" fillId="4" borderId="6" xfId="0" applyFont="1" applyFill="1" applyBorder="1" applyAlignment="1">
      <alignment vertical="center"/>
    </xf>
    <xf numFmtId="0" fontId="13" fillId="4" borderId="7" xfId="0" applyFont="1" applyFill="1" applyBorder="1" applyAlignment="1">
      <alignment vertical="center" wrapText="1"/>
    </xf>
    <xf numFmtId="0" fontId="13" fillId="4" borderId="23" xfId="0" applyFont="1" applyFill="1" applyBorder="1" applyAlignment="1">
      <alignment vertical="center" wrapText="1"/>
    </xf>
    <xf numFmtId="0" fontId="14" fillId="0" borderId="27" xfId="0" applyFont="1" applyBorder="1" applyAlignment="1">
      <alignment horizontal="center" vertical="center"/>
    </xf>
    <xf numFmtId="0" fontId="14" fillId="0" borderId="26" xfId="0" applyFont="1" applyBorder="1" applyAlignment="1">
      <alignment horizontal="center" vertical="center"/>
    </xf>
    <xf numFmtId="0" fontId="14" fillId="0" borderId="16" xfId="0" applyFont="1" applyBorder="1" applyAlignment="1">
      <alignment horizontal="left" vertical="center" wrapText="1"/>
    </xf>
    <xf numFmtId="0" fontId="14" fillId="0" borderId="18" xfId="0" applyFont="1" applyBorder="1" applyAlignment="1">
      <alignment horizontal="left" vertical="center" wrapText="1"/>
    </xf>
    <xf numFmtId="0" fontId="14" fillId="0" borderId="16" xfId="0" applyFont="1" applyBorder="1" applyAlignment="1">
      <alignment horizontal="center" vertical="center"/>
    </xf>
    <xf numFmtId="0" fontId="14" fillId="0" borderId="18" xfId="0" applyFont="1" applyBorder="1" applyAlignment="1">
      <alignment horizontal="center" vertical="center"/>
    </xf>
    <xf numFmtId="2" fontId="14" fillId="0" borderId="16" xfId="0" applyNumberFormat="1" applyFont="1" applyBorder="1" applyAlignment="1">
      <alignment horizontal="center" vertical="center"/>
    </xf>
    <xf numFmtId="2" fontId="14" fillId="0" borderId="18" xfId="0" applyNumberFormat="1" applyFont="1" applyBorder="1" applyAlignment="1">
      <alignment horizontal="center" vertical="center"/>
    </xf>
    <xf numFmtId="0" fontId="14" fillId="0" borderId="28" xfId="0" applyFont="1" applyBorder="1" applyAlignment="1">
      <alignment horizontal="center" vertical="center"/>
    </xf>
    <xf numFmtId="0" fontId="14" fillId="0" borderId="25" xfId="0" applyFont="1" applyBorder="1" applyAlignment="1">
      <alignment horizontal="center" vertical="center"/>
    </xf>
    <xf numFmtId="0" fontId="14" fillId="2" borderId="16"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0" borderId="24" xfId="0" applyFont="1" applyBorder="1" applyAlignment="1">
      <alignment horizontal="center" vertical="center"/>
    </xf>
    <xf numFmtId="0" fontId="13" fillId="4" borderId="6" xfId="1" applyFont="1" applyFill="1" applyBorder="1" applyAlignment="1">
      <alignment horizontal="center" vertical="center" wrapText="1"/>
    </xf>
    <xf numFmtId="0" fontId="24" fillId="4" borderId="6" xfId="0" applyFont="1" applyFill="1" applyBorder="1" applyAlignment="1">
      <alignment horizontal="center" vertical="center" wrapText="1"/>
    </xf>
    <xf numFmtId="0" fontId="13" fillId="4" borderId="7" xfId="2" applyFont="1" applyFill="1" applyBorder="1" applyAlignment="1">
      <alignment horizontal="center" vertical="center" wrapText="1"/>
    </xf>
    <xf numFmtId="0" fontId="13" fillId="4" borderId="23" xfId="2" applyFont="1" applyFill="1" applyBorder="1" applyAlignment="1">
      <alignment horizontal="center" vertical="center" wrapText="1"/>
    </xf>
    <xf numFmtId="0" fontId="13" fillId="4" borderId="8" xfId="2" applyFont="1" applyFill="1" applyBorder="1" applyAlignment="1">
      <alignment horizontal="center" vertical="center" wrapText="1"/>
    </xf>
    <xf numFmtId="0" fontId="13" fillId="4" borderId="9" xfId="2" applyFont="1" applyFill="1" applyBorder="1" applyAlignment="1">
      <alignment horizontal="center" vertical="center" wrapText="1"/>
    </xf>
    <xf numFmtId="0" fontId="13" fillId="4" borderId="6" xfId="1" applyFont="1" applyFill="1" applyBorder="1" applyAlignment="1">
      <alignment horizontal="center" vertical="center"/>
    </xf>
    <xf numFmtId="0" fontId="24" fillId="4" borderId="7" xfId="0" applyFont="1" applyFill="1" applyBorder="1" applyAlignment="1">
      <alignment horizontal="center" vertical="center" wrapText="1"/>
    </xf>
    <xf numFmtId="0" fontId="13" fillId="4" borderId="10" xfId="2" applyFont="1" applyFill="1" applyBorder="1" applyAlignment="1">
      <alignment horizontal="center" vertical="center" wrapText="1"/>
    </xf>
    <xf numFmtId="0" fontId="24" fillId="4" borderId="6" xfId="0" applyFont="1" applyFill="1" applyBorder="1" applyAlignment="1">
      <alignment horizontal="center" vertical="center"/>
    </xf>
    <xf numFmtId="0" fontId="13" fillId="4" borderId="7"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2" xfId="0" applyFont="1" applyFill="1" applyBorder="1" applyAlignment="1">
      <alignment horizontal="center" vertical="center" wrapText="1"/>
    </xf>
    <xf numFmtId="6" fontId="18" fillId="2" borderId="3" xfId="0" applyNumberFormat="1" applyFont="1" applyFill="1" applyBorder="1" applyAlignment="1">
      <alignment horizontal="center" vertical="center" wrapText="1"/>
    </xf>
    <xf numFmtId="6" fontId="18" fillId="2" borderId="2" xfId="0" applyNumberFormat="1" applyFont="1" applyFill="1" applyBorder="1" applyAlignment="1">
      <alignment horizontal="center" vertical="center" wrapText="1"/>
    </xf>
    <xf numFmtId="0" fontId="15" fillId="4" borderId="10" xfId="0" applyFont="1" applyFill="1" applyBorder="1" applyAlignment="1">
      <alignment horizontal="center" vertical="center" wrapText="1"/>
    </xf>
    <xf numFmtId="0" fontId="9" fillId="0" borderId="0" xfId="1" applyFont="1" applyFill="1" applyBorder="1" applyAlignment="1">
      <alignment horizontal="center"/>
    </xf>
    <xf numFmtId="0" fontId="9" fillId="0" borderId="0" xfId="0" applyFont="1" applyFill="1" applyBorder="1" applyAlignment="1">
      <alignment horizontal="center"/>
    </xf>
    <xf numFmtId="0" fontId="9" fillId="0" borderId="0" xfId="1" applyFont="1" applyFill="1" applyBorder="1" applyAlignment="1">
      <alignment horizontal="center" vertical="center"/>
    </xf>
    <xf numFmtId="0" fontId="4"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4" fillId="0" borderId="1"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1" xfId="0" applyFont="1" applyBorder="1" applyAlignment="1">
      <alignment horizontal="center" vertical="center"/>
    </xf>
    <xf numFmtId="165" fontId="8" fillId="0" borderId="3" xfId="0" applyNumberFormat="1" applyFont="1" applyFill="1" applyBorder="1" applyAlignment="1">
      <alignment horizontal="center" vertical="center"/>
    </xf>
    <xf numFmtId="165" fontId="8" fillId="0" borderId="4" xfId="0" applyNumberFormat="1" applyFont="1" applyFill="1" applyBorder="1" applyAlignment="1">
      <alignment horizontal="center" vertical="center"/>
    </xf>
    <xf numFmtId="165" fontId="8" fillId="0" borderId="2" xfId="0" applyNumberFormat="1" applyFont="1" applyFill="1" applyBorder="1" applyAlignment="1">
      <alignment horizontal="center" vertical="center"/>
    </xf>
    <xf numFmtId="9" fontId="5" fillId="0" borderId="1" xfId="3" applyFont="1" applyBorder="1" applyAlignment="1">
      <alignment horizontal="center" vertical="center"/>
    </xf>
    <xf numFmtId="0" fontId="4" fillId="0" borderId="1" xfId="1" applyFont="1" applyFill="1" applyBorder="1" applyAlignment="1">
      <alignment horizontal="center" vertical="center"/>
    </xf>
    <xf numFmtId="0" fontId="6" fillId="0" borderId="1" xfId="0" applyFont="1" applyFill="1" applyBorder="1" applyAlignment="1">
      <alignment horizontal="center" vertical="center"/>
    </xf>
    <xf numFmtId="3" fontId="0" fillId="2" borderId="3" xfId="0" applyNumberFormat="1" applyFill="1" applyBorder="1" applyAlignment="1">
      <alignment horizontal="center" vertical="center" wrapText="1"/>
    </xf>
    <xf numFmtId="3" fontId="0" fillId="2" borderId="2" xfId="0" applyNumberFormat="1" applyFill="1" applyBorder="1" applyAlignment="1">
      <alignment horizontal="center" vertical="center" wrapText="1"/>
    </xf>
    <xf numFmtId="4" fontId="0" fillId="2" borderId="3" xfId="0" applyNumberFormat="1" applyFill="1" applyBorder="1" applyAlignment="1">
      <alignment horizontal="center" vertical="center" wrapText="1"/>
    </xf>
    <xf numFmtId="4" fontId="0" fillId="2" borderId="4" xfId="0" applyNumberFormat="1" applyFill="1" applyBorder="1" applyAlignment="1">
      <alignment horizontal="center" vertical="center" wrapText="1"/>
    </xf>
    <xf numFmtId="4" fontId="0" fillId="2" borderId="2" xfId="0" applyNumberFormat="1" applyFill="1" applyBorder="1" applyAlignment="1">
      <alignment horizontal="center" vertical="center" wrapText="1"/>
    </xf>
    <xf numFmtId="175" fontId="0" fillId="0" borderId="3" xfId="451" applyNumberFormat="1" applyFont="1" applyBorder="1" applyAlignment="1">
      <alignment horizontal="center" vertical="center"/>
    </xf>
    <xf numFmtId="175" fontId="0" fillId="0" borderId="2" xfId="451" applyNumberFormat="1" applyFont="1" applyBorder="1" applyAlignment="1">
      <alignment horizontal="center" vertical="center"/>
    </xf>
    <xf numFmtId="175" fontId="0" fillId="0" borderId="4" xfId="451" applyNumberFormat="1" applyFont="1" applyBorder="1" applyAlignment="1">
      <alignment horizontal="center" vertical="center"/>
    </xf>
    <xf numFmtId="14" fontId="0" fillId="2" borderId="3" xfId="0" applyNumberFormat="1" applyFill="1" applyBorder="1" applyAlignment="1">
      <alignment horizontal="center" vertical="center"/>
    </xf>
    <xf numFmtId="175" fontId="34" fillId="0" borderId="13" xfId="451" applyNumberFormat="1" applyFont="1" applyFill="1" applyBorder="1" applyAlignment="1">
      <alignment horizontal="center" vertical="center" wrapText="1"/>
    </xf>
    <xf numFmtId="0" fontId="17" fillId="0" borderId="50" xfId="0" applyFont="1" applyFill="1" applyBorder="1" applyAlignment="1">
      <alignment horizontal="center" vertical="center"/>
    </xf>
    <xf numFmtId="0" fontId="17" fillId="0" borderId="50" xfId="0" applyFont="1" applyFill="1" applyBorder="1" applyAlignment="1">
      <alignment horizontal="justify" vertical="center"/>
    </xf>
    <xf numFmtId="0" fontId="17" fillId="0" borderId="37" xfId="0" applyFont="1" applyFill="1" applyBorder="1" applyAlignment="1">
      <alignment vertical="center"/>
    </xf>
    <xf numFmtId="0" fontId="17" fillId="0" borderId="37" xfId="0" applyFont="1" applyFill="1" applyBorder="1" applyAlignment="1">
      <alignment horizontal="left" vertical="top" wrapText="1"/>
    </xf>
    <xf numFmtId="170" fontId="17" fillId="0" borderId="37" xfId="451" applyNumberFormat="1" applyFont="1" applyFill="1" applyBorder="1" applyAlignment="1">
      <alignment horizontal="center" vertical="center"/>
    </xf>
    <xf numFmtId="0" fontId="17" fillId="0" borderId="42" xfId="0" applyFont="1" applyFill="1" applyBorder="1" applyAlignment="1">
      <alignment horizontal="justify" vertical="center" wrapText="1"/>
    </xf>
    <xf numFmtId="0" fontId="0" fillId="0" borderId="25" xfId="0" applyFont="1" applyBorder="1" applyAlignment="1">
      <alignment horizontal="center" vertical="center"/>
    </xf>
    <xf numFmtId="0" fontId="0" fillId="0" borderId="25" xfId="0" applyBorder="1"/>
    <xf numFmtId="170" fontId="17" fillId="0" borderId="13" xfId="451" applyNumberFormat="1" applyFont="1" applyFill="1" applyBorder="1" applyAlignment="1">
      <alignment horizontal="center" vertical="center"/>
    </xf>
    <xf numFmtId="0" fontId="0" fillId="0" borderId="44" xfId="0" applyFont="1" applyBorder="1" applyAlignment="1">
      <alignment horizontal="center" vertical="center"/>
    </xf>
    <xf numFmtId="0" fontId="33" fillId="0" borderId="16" xfId="0" applyFont="1" applyBorder="1" applyAlignment="1">
      <alignment horizontal="justify" vertical="center"/>
    </xf>
    <xf numFmtId="0" fontId="0" fillId="0" borderId="16" xfId="0" applyFont="1" applyBorder="1" applyAlignment="1">
      <alignment horizontal="justify" vertical="center"/>
    </xf>
    <xf numFmtId="0" fontId="0" fillId="0" borderId="55" xfId="0" applyBorder="1"/>
    <xf numFmtId="0" fontId="17" fillId="0" borderId="16" xfId="0" applyFont="1" applyBorder="1" applyAlignment="1">
      <alignment vertical="center"/>
    </xf>
    <xf numFmtId="14" fontId="0" fillId="0" borderId="16" xfId="0" applyNumberFormat="1" applyFont="1" applyBorder="1" applyAlignment="1">
      <alignment horizontal="center" vertical="center"/>
    </xf>
    <xf numFmtId="0" fontId="0" fillId="0" borderId="16" xfId="0" applyFont="1" applyBorder="1" applyAlignment="1">
      <alignment horizontal="center" vertical="center"/>
    </xf>
    <xf numFmtId="0" fontId="17" fillId="0" borderId="16" xfId="0" applyFont="1" applyFill="1" applyBorder="1" applyAlignment="1">
      <alignment horizontal="justify" vertical="center" wrapText="1"/>
    </xf>
    <xf numFmtId="0" fontId="17" fillId="0" borderId="16" xfId="0" applyFont="1" applyFill="1" applyBorder="1" applyAlignment="1">
      <alignment horizontal="justify" vertical="center"/>
    </xf>
    <xf numFmtId="175" fontId="17" fillId="0" borderId="16" xfId="451" applyNumberFormat="1" applyFont="1" applyFill="1" applyBorder="1" applyAlignment="1">
      <alignment horizontal="center" vertical="center"/>
    </xf>
    <xf numFmtId="3" fontId="17" fillId="0" borderId="16" xfId="0" applyNumberFormat="1" applyFont="1" applyFill="1" applyBorder="1" applyAlignment="1">
      <alignment horizontal="center" vertical="center"/>
    </xf>
    <xf numFmtId="9" fontId="17" fillId="0" borderId="14" xfId="3" applyFont="1" applyFill="1" applyBorder="1" applyAlignment="1">
      <alignment horizontal="center" vertical="center"/>
    </xf>
    <xf numFmtId="0" fontId="17" fillId="0" borderId="43" xfId="0" applyFont="1" applyFill="1" applyBorder="1" applyAlignment="1">
      <alignment horizontal="justify" vertical="center" wrapText="1"/>
    </xf>
    <xf numFmtId="0" fontId="0" fillId="0" borderId="36" xfId="0" applyBorder="1" applyAlignment="1">
      <alignment horizontal="center" vertical="center"/>
    </xf>
    <xf numFmtId="0" fontId="42" fillId="0" borderId="37"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37" xfId="0" applyFont="1" applyFill="1" applyBorder="1" applyAlignment="1">
      <alignment horizontal="left" vertical="center" wrapText="1"/>
    </xf>
    <xf numFmtId="0" fontId="0" fillId="0" borderId="37" xfId="0" applyBorder="1"/>
    <xf numFmtId="0" fontId="0" fillId="0" borderId="42" xfId="0" applyBorder="1"/>
    <xf numFmtId="0" fontId="0" fillId="0" borderId="40" xfId="0" applyBorder="1" applyAlignment="1">
      <alignment horizontal="center" vertical="center"/>
    </xf>
    <xf numFmtId="0" fontId="42" fillId="0" borderId="13" xfId="0" applyFont="1" applyBorder="1" applyAlignment="1">
      <alignment horizontal="center" vertical="center" wrapText="1"/>
    </xf>
    <xf numFmtId="0" fontId="17" fillId="0" borderId="25" xfId="0" applyFont="1" applyFill="1" applyBorder="1" applyAlignment="1">
      <alignment horizontal="center" vertical="center"/>
    </xf>
    <xf numFmtId="0" fontId="17" fillId="0" borderId="25" xfId="0" applyFont="1" applyBorder="1" applyAlignment="1">
      <alignment horizontal="center" vertical="center" wrapText="1"/>
    </xf>
    <xf numFmtId="14" fontId="17" fillId="0" borderId="13" xfId="0" applyNumberFormat="1" applyFont="1" applyFill="1" applyBorder="1" applyAlignment="1">
      <alignment horizontal="center" vertical="center"/>
    </xf>
    <xf numFmtId="0" fontId="0" fillId="0" borderId="41" xfId="0" applyBorder="1"/>
    <xf numFmtId="0" fontId="0" fillId="0" borderId="44" xfId="0" applyBorder="1" applyAlignment="1">
      <alignment horizontal="center" vertical="center"/>
    </xf>
    <xf numFmtId="0" fontId="42" fillId="0" borderId="16" xfId="0" applyFont="1" applyBorder="1" applyAlignment="1">
      <alignment horizontal="center" vertical="center" wrapText="1"/>
    </xf>
    <xf numFmtId="0" fontId="17" fillId="0" borderId="16" xfId="0" applyFont="1" applyFill="1" applyBorder="1" applyAlignment="1">
      <alignment horizontal="center" vertical="center"/>
    </xf>
    <xf numFmtId="14" fontId="17" fillId="0" borderId="16" xfId="0" applyNumberFormat="1" applyFont="1" applyFill="1" applyBorder="1" applyAlignment="1">
      <alignment horizontal="center" vertical="center"/>
    </xf>
    <xf numFmtId="0" fontId="17" fillId="0" borderId="16" xfId="0" applyFont="1" applyFill="1" applyBorder="1" applyAlignment="1">
      <alignment horizontal="left" vertical="center" wrapText="1"/>
    </xf>
    <xf numFmtId="0" fontId="0" fillId="0" borderId="16" xfId="0" applyBorder="1"/>
    <xf numFmtId="0" fontId="17" fillId="0" borderId="16" xfId="0" applyFont="1" applyFill="1" applyBorder="1" applyAlignment="1">
      <alignment horizontal="center" vertical="center"/>
    </xf>
    <xf numFmtId="0" fontId="0" fillId="0" borderId="45" xfId="0" applyBorder="1"/>
    <xf numFmtId="0" fontId="0" fillId="0" borderId="36" xfId="0" applyBorder="1" applyAlignment="1">
      <alignment horizontal="center" vertical="center" wrapText="1"/>
    </xf>
    <xf numFmtId="0" fontId="36" fillId="0" borderId="37" xfId="0" applyFont="1" applyBorder="1" applyAlignment="1">
      <alignment horizontal="center" vertical="center" wrapText="1"/>
    </xf>
    <xf numFmtId="0" fontId="0" fillId="0" borderId="37" xfId="0" applyBorder="1" applyAlignment="1">
      <alignment horizontal="center" vertical="center" wrapText="1"/>
    </xf>
    <xf numFmtId="0" fontId="17" fillId="0" borderId="37" xfId="0" applyFont="1" applyBorder="1" applyAlignment="1">
      <alignment horizontal="center" vertical="center" wrapText="1"/>
    </xf>
    <xf numFmtId="0" fontId="0" fillId="0" borderId="50" xfId="0" applyBorder="1" applyAlignment="1">
      <alignment horizontal="center" vertical="center"/>
    </xf>
    <xf numFmtId="14" fontId="0" fillId="0" borderId="50" xfId="0" applyNumberFormat="1" applyBorder="1" applyAlignment="1">
      <alignment horizontal="center" vertical="center"/>
    </xf>
    <xf numFmtId="14" fontId="0" fillId="0" borderId="50" xfId="0" applyNumberFormat="1" applyBorder="1" applyAlignment="1">
      <alignment horizontal="center" vertical="center" wrapText="1"/>
    </xf>
    <xf numFmtId="0" fontId="0" fillId="0" borderId="50" xfId="0" applyBorder="1" applyAlignment="1">
      <alignment horizontal="center" vertical="center" wrapText="1"/>
    </xf>
    <xf numFmtId="0" fontId="0" fillId="0" borderId="46" xfId="0" applyBorder="1" applyAlignment="1">
      <alignment horizontal="center" vertical="center" wrapText="1"/>
    </xf>
    <xf numFmtId="0" fontId="36" fillId="0" borderId="47" xfId="0" applyFont="1" applyBorder="1" applyAlignment="1">
      <alignment horizontal="center" vertical="center" wrapText="1"/>
    </xf>
    <xf numFmtId="0" fontId="0" fillId="0" borderId="47" xfId="0" applyBorder="1" applyAlignment="1">
      <alignment horizontal="center" vertical="center" wrapText="1"/>
    </xf>
    <xf numFmtId="0" fontId="17" fillId="0" borderId="47" xfId="0" applyFont="1" applyBorder="1" applyAlignment="1">
      <alignment horizontal="center" vertical="center" wrapText="1"/>
    </xf>
    <xf numFmtId="0" fontId="0" fillId="0" borderId="55" xfId="0" applyBorder="1" applyAlignment="1">
      <alignment horizontal="center" vertical="center"/>
    </xf>
    <xf numFmtId="14" fontId="0" fillId="0" borderId="55" xfId="0" applyNumberFormat="1" applyBorder="1" applyAlignment="1">
      <alignment horizontal="center" vertical="center"/>
    </xf>
    <xf numFmtId="14" fontId="0" fillId="0" borderId="55" xfId="0" applyNumberFormat="1" applyBorder="1" applyAlignment="1">
      <alignment horizontal="center" vertical="center" wrapText="1"/>
    </xf>
    <xf numFmtId="0" fontId="0" fillId="0" borderId="55" xfId="0" applyBorder="1" applyAlignment="1">
      <alignment horizontal="center" vertical="center" wrapText="1"/>
    </xf>
    <xf numFmtId="0" fontId="17" fillId="0" borderId="47" xfId="0" applyFont="1" applyFill="1" applyBorder="1" applyAlignment="1">
      <alignment horizontal="left" vertical="center" wrapText="1"/>
    </xf>
    <xf numFmtId="0" fontId="0" fillId="0" borderId="47" xfId="0" applyBorder="1"/>
    <xf numFmtId="0" fontId="0" fillId="0" borderId="48" xfId="0" applyBorder="1"/>
    <xf numFmtId="0" fontId="15" fillId="4" borderId="1" xfId="1" applyFont="1" applyFill="1" applyBorder="1" applyAlignment="1">
      <alignment horizontal="center" vertical="center" wrapText="1"/>
    </xf>
    <xf numFmtId="0" fontId="15" fillId="4" borderId="1" xfId="2" applyFont="1" applyFill="1" applyBorder="1" applyAlignment="1">
      <alignment horizontal="center" vertical="center" wrapText="1"/>
    </xf>
    <xf numFmtId="0" fontId="15" fillId="4" borderId="1" xfId="1" applyFont="1" applyFill="1" applyBorder="1" applyAlignment="1">
      <alignment horizontal="center" vertical="center"/>
    </xf>
    <xf numFmtId="0" fontId="16" fillId="4"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5" fillId="4" borderId="1" xfId="2" applyFont="1" applyFill="1" applyBorder="1" applyAlignment="1">
      <alignment horizontal="center" vertical="center" wrapText="1"/>
    </xf>
    <xf numFmtId="0" fontId="15" fillId="4" borderId="1" xfId="1" applyFont="1" applyFill="1" applyBorder="1" applyAlignment="1">
      <alignment horizontal="center" vertical="center" wrapText="1"/>
    </xf>
    <xf numFmtId="0" fontId="16" fillId="0" borderId="0" xfId="0"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0" borderId="0" xfId="0" applyFont="1" applyFill="1"/>
    <xf numFmtId="0" fontId="43" fillId="8" borderId="29" xfId="0" applyFont="1" applyFill="1" applyBorder="1" applyAlignment="1">
      <alignment horizontal="left" vertical="center"/>
    </xf>
    <xf numFmtId="0" fontId="43" fillId="8" borderId="31" xfId="0" applyFont="1" applyFill="1" applyBorder="1" applyAlignment="1">
      <alignment horizontal="left" vertical="center"/>
    </xf>
    <xf numFmtId="0" fontId="43" fillId="8" borderId="30" xfId="0" applyFont="1" applyFill="1" applyBorder="1" applyAlignment="1">
      <alignment horizontal="left" vertical="center"/>
    </xf>
    <xf numFmtId="0" fontId="31" fillId="0" borderId="1" xfId="0" applyFont="1" applyBorder="1" applyAlignment="1">
      <alignment horizontal="center" vertical="center"/>
    </xf>
    <xf numFmtId="0" fontId="31" fillId="0" borderId="1" xfId="0" applyFont="1" applyBorder="1" applyAlignment="1">
      <alignment horizontal="justify" vertical="center" wrapText="1"/>
    </xf>
    <xf numFmtId="0" fontId="31" fillId="0" borderId="1" xfId="0" applyFont="1" applyBorder="1" applyAlignment="1">
      <alignment horizontal="center" vertical="center" wrapText="1"/>
    </xf>
    <xf numFmtId="3" fontId="31" fillId="0" borderId="1" xfId="0" applyNumberFormat="1" applyFont="1" applyBorder="1" applyAlignment="1">
      <alignment horizontal="center" vertical="center"/>
    </xf>
    <xf numFmtId="14" fontId="44" fillId="0" borderId="1" xfId="0" applyNumberFormat="1" applyFont="1" applyBorder="1" applyAlignment="1">
      <alignment horizontal="center" vertical="center" wrapText="1"/>
    </xf>
    <xf numFmtId="14" fontId="31" fillId="0" borderId="1" xfId="0" applyNumberFormat="1" applyFont="1" applyBorder="1" applyAlignment="1">
      <alignment horizontal="center" vertical="center"/>
    </xf>
    <xf numFmtId="9" fontId="31" fillId="0" borderId="1" xfId="0" applyNumberFormat="1" applyFont="1" applyBorder="1" applyAlignment="1">
      <alignment horizontal="center" vertical="center"/>
    </xf>
    <xf numFmtId="12" fontId="31" fillId="0" borderId="1" xfId="0" applyNumberFormat="1" applyFont="1" applyBorder="1" applyAlignment="1">
      <alignment horizontal="center" vertical="center"/>
    </xf>
    <xf numFmtId="2" fontId="31" fillId="0" borderId="1" xfId="0" applyNumberFormat="1" applyFont="1" applyBorder="1" applyAlignment="1">
      <alignment horizontal="center" vertical="center"/>
    </xf>
    <xf numFmtId="0" fontId="31" fillId="0" borderId="1" xfId="0" applyFont="1" applyBorder="1" applyAlignment="1">
      <alignment horizontal="justify" vertical="center"/>
    </xf>
    <xf numFmtId="0" fontId="31" fillId="0" borderId="0" xfId="0" applyFont="1" applyAlignment="1">
      <alignment vertical="center"/>
    </xf>
    <xf numFmtId="0" fontId="44" fillId="0" borderId="0" xfId="0" applyFont="1"/>
    <xf numFmtId="10" fontId="31" fillId="0" borderId="1" xfId="0" applyNumberFormat="1" applyFont="1" applyBorder="1" applyAlignment="1">
      <alignment horizontal="center" vertical="center"/>
    </xf>
    <xf numFmtId="3" fontId="31" fillId="2" borderId="1" xfId="2" applyNumberFormat="1" applyFont="1" applyFill="1" applyBorder="1" applyAlignment="1">
      <alignment horizontal="center" vertical="center" wrapText="1"/>
    </xf>
    <xf numFmtId="0" fontId="44" fillId="0" borderId="1" xfId="0" applyFont="1" applyFill="1" applyBorder="1" applyAlignment="1">
      <alignment horizontal="left" vertical="center" wrapText="1"/>
    </xf>
    <xf numFmtId="0" fontId="44" fillId="0" borderId="1" xfId="0" applyFont="1" applyFill="1" applyBorder="1" applyAlignment="1">
      <alignment horizontal="center" vertical="center" wrapText="1"/>
    </xf>
    <xf numFmtId="3" fontId="31" fillId="0" borderId="1" xfId="0" applyNumberFormat="1" applyFont="1" applyFill="1" applyBorder="1" applyAlignment="1">
      <alignment horizontal="center" vertical="center"/>
    </xf>
    <xf numFmtId="0" fontId="44" fillId="0" borderId="1" xfId="0" applyFont="1" applyFill="1" applyBorder="1" applyAlignment="1">
      <alignment horizontal="center" vertical="center"/>
    </xf>
    <xf numFmtId="3" fontId="44" fillId="0" borderId="1" xfId="0" applyNumberFormat="1" applyFont="1" applyFill="1" applyBorder="1" applyAlignment="1">
      <alignment horizontal="center" vertical="center"/>
    </xf>
    <xf numFmtId="0" fontId="44" fillId="0" borderId="1" xfId="0" applyFont="1" applyFill="1" applyBorder="1" applyAlignment="1">
      <alignment horizontal="left" vertical="center"/>
    </xf>
    <xf numFmtId="0" fontId="44" fillId="0" borderId="1" xfId="0" applyFont="1" applyFill="1" applyBorder="1" applyAlignment="1">
      <alignment horizontal="justify" vertical="justify" wrapText="1"/>
    </xf>
    <xf numFmtId="0" fontId="44" fillId="0" borderId="1" xfId="0" applyFont="1" applyFill="1" applyBorder="1" applyAlignment="1">
      <alignment horizontal="center" vertical="center"/>
    </xf>
    <xf numFmtId="3" fontId="44" fillId="0" borderId="1" xfId="0" applyNumberFormat="1" applyFont="1" applyFill="1" applyBorder="1" applyAlignment="1">
      <alignment horizontal="center" vertical="center"/>
    </xf>
    <xf numFmtId="49" fontId="30" fillId="0" borderId="1" xfId="0" applyNumberFormat="1" applyFont="1" applyFill="1" applyBorder="1" applyAlignment="1">
      <alignment horizontal="center" vertical="center" wrapText="1"/>
    </xf>
    <xf numFmtId="0" fontId="44" fillId="0" borderId="1" xfId="0"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xf>
    <xf numFmtId="3" fontId="44" fillId="0" borderId="1" xfId="0" applyNumberFormat="1" applyFont="1" applyFill="1" applyBorder="1" applyAlignment="1">
      <alignment horizontal="right" vertical="center"/>
    </xf>
    <xf numFmtId="0" fontId="44" fillId="0" borderId="1" xfId="0" applyFont="1" applyFill="1" applyBorder="1" applyAlignment="1">
      <alignment horizontal="left" vertical="center" wrapText="1"/>
    </xf>
    <xf numFmtId="0" fontId="30" fillId="0" borderId="1" xfId="0" applyNumberFormat="1" applyFont="1" applyFill="1" applyBorder="1" applyAlignment="1">
      <alignment horizontal="center" vertical="center"/>
    </xf>
    <xf numFmtId="49" fontId="30" fillId="0" borderId="1" xfId="0" applyNumberFormat="1" applyFont="1" applyFill="1" applyBorder="1" applyAlignment="1">
      <alignment horizontal="center" vertical="center"/>
    </xf>
    <xf numFmtId="0" fontId="34" fillId="0" borderId="29" xfId="0" applyFont="1" applyBorder="1" applyAlignment="1">
      <alignment horizontal="justify" vertical="center"/>
    </xf>
    <xf numFmtId="0" fontId="17" fillId="0" borderId="59" xfId="0" applyFont="1" applyBorder="1" applyAlignment="1">
      <alignment horizontal="left" vertical="center"/>
    </xf>
    <xf numFmtId="0" fontId="17" fillId="0" borderId="60" xfId="0" applyFont="1" applyBorder="1" applyAlignment="1">
      <alignment horizontal="center" vertical="center"/>
    </xf>
    <xf numFmtId="3" fontId="34" fillId="0" borderId="60" xfId="0" applyNumberFormat="1" applyFont="1" applyBorder="1" applyAlignment="1">
      <alignment vertical="center"/>
    </xf>
    <xf numFmtId="0" fontId="17" fillId="0" borderId="60" xfId="0" applyFont="1" applyBorder="1" applyAlignment="1">
      <alignment horizontal="left" vertical="center"/>
    </xf>
    <xf numFmtId="49" fontId="30" fillId="0" borderId="60" xfId="0" applyNumberFormat="1" applyFont="1" applyFill="1" applyBorder="1" applyAlignment="1">
      <alignment horizontal="center" vertical="center"/>
    </xf>
    <xf numFmtId="182" fontId="17" fillId="0" borderId="60" xfId="0" applyNumberFormat="1" applyFont="1" applyBorder="1" applyAlignment="1">
      <alignment horizontal="center" vertical="center"/>
    </xf>
    <xf numFmtId="0" fontId="17" fillId="0" borderId="60" xfId="0" applyFont="1" applyFill="1" applyBorder="1" applyAlignment="1">
      <alignment horizontal="left" vertical="center"/>
    </xf>
    <xf numFmtId="0" fontId="17" fillId="0" borderId="60" xfId="0" applyFont="1" applyBorder="1" applyAlignment="1">
      <alignment horizontal="right" vertical="center"/>
    </xf>
    <xf numFmtId="0" fontId="17" fillId="0" borderId="61" xfId="0" applyFont="1" applyBorder="1" applyAlignment="1">
      <alignment horizontal="left" vertical="center"/>
    </xf>
    <xf numFmtId="0" fontId="44" fillId="0" borderId="3" xfId="0" applyFont="1" applyBorder="1" applyAlignment="1">
      <alignment horizontal="center" vertical="center"/>
    </xf>
    <xf numFmtId="0" fontId="31" fillId="0" borderId="1" xfId="0" applyFont="1" applyFill="1" applyBorder="1" applyAlignment="1">
      <alignment horizontal="justify" vertical="justify" wrapText="1"/>
    </xf>
    <xf numFmtId="0" fontId="31" fillId="0" borderId="1" xfId="0" applyFont="1" applyFill="1" applyBorder="1" applyAlignment="1">
      <alignment horizontal="center" vertical="center" wrapText="1"/>
    </xf>
    <xf numFmtId="3" fontId="31" fillId="0" borderId="1" xfId="0" applyNumberFormat="1" applyFont="1" applyFill="1" applyBorder="1" applyAlignment="1">
      <alignment horizontal="center" vertical="center" wrapText="1"/>
    </xf>
    <xf numFmtId="0" fontId="31" fillId="0" borderId="3" xfId="0" applyFont="1" applyFill="1" applyBorder="1" applyAlignment="1">
      <alignment horizontal="justify" vertical="justify" wrapText="1"/>
    </xf>
    <xf numFmtId="0" fontId="31" fillId="0" borderId="1" xfId="0" applyFont="1" applyFill="1" applyBorder="1" applyAlignment="1">
      <alignment horizontal="center" vertical="center" wrapText="1"/>
    </xf>
    <xf numFmtId="3" fontId="31" fillId="0" borderId="1" xfId="0" applyNumberFormat="1" applyFont="1" applyFill="1" applyBorder="1" applyAlignment="1">
      <alignment horizontal="center" vertical="center" wrapText="1"/>
    </xf>
    <xf numFmtId="0" fontId="29" fillId="2" borderId="1" xfId="0" applyFont="1" applyFill="1" applyBorder="1" applyAlignment="1">
      <alignment horizontal="left" vertical="center"/>
    </xf>
    <xf numFmtId="0" fontId="44" fillId="0" borderId="4" xfId="0" applyFont="1" applyBorder="1" applyAlignment="1">
      <alignment horizontal="center" vertical="center"/>
    </xf>
    <xf numFmtId="0" fontId="31" fillId="0" borderId="4" xfId="0" applyFont="1" applyFill="1" applyBorder="1" applyAlignment="1">
      <alignment horizontal="justify" vertical="justify" wrapText="1"/>
    </xf>
    <xf numFmtId="0" fontId="44" fillId="0" borderId="2" xfId="0" applyFont="1" applyBorder="1" applyAlignment="1">
      <alignment horizontal="center" vertical="center"/>
    </xf>
    <xf numFmtId="0" fontId="31" fillId="0" borderId="2" xfId="0" applyFont="1" applyFill="1" applyBorder="1" applyAlignment="1">
      <alignment horizontal="justify" vertical="justify" wrapText="1"/>
    </xf>
    <xf numFmtId="0" fontId="44" fillId="0" borderId="1" xfId="0" applyFont="1" applyBorder="1" applyAlignment="1">
      <alignment horizontal="center" vertical="center"/>
    </xf>
    <xf numFmtId="0" fontId="31" fillId="0" borderId="3" xfId="0" applyFont="1" applyFill="1" applyBorder="1" applyAlignment="1">
      <alignment horizontal="justify" vertical="justify" wrapText="1"/>
    </xf>
    <xf numFmtId="0" fontId="31" fillId="0" borderId="3" xfId="0" applyFont="1" applyFill="1" applyBorder="1" applyAlignment="1">
      <alignment horizontal="center" vertical="center" wrapText="1"/>
    </xf>
    <xf numFmtId="0" fontId="31" fillId="0" borderId="3" xfId="0" applyFont="1" applyFill="1" applyBorder="1" applyAlignment="1">
      <alignment horizontal="center" vertical="top" wrapText="1"/>
    </xf>
    <xf numFmtId="14" fontId="31" fillId="0" borderId="3" xfId="0" applyNumberFormat="1" applyFont="1" applyFill="1" applyBorder="1" applyAlignment="1">
      <alignment horizontal="center" vertical="center" wrapText="1"/>
    </xf>
    <xf numFmtId="3" fontId="31" fillId="0" borderId="3" xfId="0" applyNumberFormat="1" applyFont="1" applyFill="1" applyBorder="1" applyAlignment="1">
      <alignment horizontal="center" vertical="center" wrapText="1"/>
    </xf>
    <xf numFmtId="0" fontId="31" fillId="2" borderId="1" xfId="0" applyFont="1" applyFill="1" applyBorder="1" applyAlignment="1">
      <alignment horizontal="justify" vertical="justify" wrapText="1"/>
    </xf>
    <xf numFmtId="0" fontId="31" fillId="2" borderId="1" xfId="0" applyFont="1" applyFill="1" applyBorder="1" applyAlignment="1">
      <alignment horizontal="center" vertical="center"/>
    </xf>
    <xf numFmtId="3" fontId="31" fillId="2" borderId="1" xfId="0" applyNumberFormat="1" applyFont="1" applyFill="1" applyBorder="1" applyAlignment="1">
      <alignment horizontal="center" vertical="center"/>
    </xf>
    <xf numFmtId="183" fontId="31" fillId="2" borderId="1" xfId="0" applyNumberFormat="1" applyFont="1" applyFill="1" applyBorder="1" applyAlignment="1">
      <alignment horizontal="center" vertical="center"/>
    </xf>
    <xf numFmtId="0" fontId="0" fillId="0" borderId="0" xfId="0" applyBorder="1" applyAlignment="1">
      <alignment horizontal="center" vertical="center"/>
    </xf>
    <xf numFmtId="0" fontId="34" fillId="2" borderId="31" xfId="0" applyFont="1" applyFill="1" applyBorder="1" applyAlignment="1">
      <alignment horizontal="center" vertical="center" wrapText="1"/>
    </xf>
    <xf numFmtId="0" fontId="31" fillId="0" borderId="31" xfId="0" applyFont="1" applyBorder="1" applyAlignment="1">
      <alignment horizontal="center" vertical="center"/>
    </xf>
    <xf numFmtId="183" fontId="34" fillId="2" borderId="31" xfId="0" applyNumberFormat="1" applyFont="1" applyFill="1" applyBorder="1" applyAlignment="1">
      <alignment horizontal="center" vertical="center"/>
    </xf>
    <xf numFmtId="0" fontId="31" fillId="0" borderId="62" xfId="0" applyFont="1" applyFill="1" applyBorder="1" applyAlignment="1">
      <alignment horizontal="justify" vertical="justify" wrapText="1"/>
    </xf>
    <xf numFmtId="14" fontId="34" fillId="0" borderId="31" xfId="0" applyNumberFormat="1" applyFont="1" applyBorder="1" applyAlignment="1">
      <alignment horizontal="center" vertical="center"/>
    </xf>
    <xf numFmtId="0" fontId="34" fillId="2" borderId="31" xfId="0" applyFont="1" applyFill="1" applyBorder="1" applyAlignment="1">
      <alignment horizontal="center" vertical="center"/>
    </xf>
    <xf numFmtId="0" fontId="34" fillId="0" borderId="31" xfId="0" applyFont="1" applyBorder="1" applyAlignment="1">
      <alignment horizontal="center" vertical="center"/>
    </xf>
    <xf numFmtId="0" fontId="34" fillId="0" borderId="30" xfId="0" applyFont="1" applyBorder="1" applyAlignment="1">
      <alignment horizontal="justify" vertical="center"/>
    </xf>
    <xf numFmtId="0" fontId="44" fillId="0" borderId="1" xfId="0" applyFont="1" applyBorder="1" applyAlignment="1">
      <alignment horizontal="left" vertical="center" wrapText="1"/>
    </xf>
    <xf numFmtId="0" fontId="44" fillId="0" borderId="1" xfId="0" applyFont="1" applyBorder="1" applyAlignment="1">
      <alignment horizontal="center" vertical="center" wrapText="1"/>
    </xf>
    <xf numFmtId="3" fontId="31" fillId="0" borderId="1" xfId="0" applyNumberFormat="1" applyFont="1" applyBorder="1" applyAlignment="1">
      <alignment horizontal="center" vertical="center" wrapText="1"/>
    </xf>
    <xf numFmtId="3" fontId="44" fillId="0" borderId="1" xfId="0" applyNumberFormat="1" applyFont="1" applyBorder="1" applyAlignment="1">
      <alignment horizontal="center" vertical="center"/>
    </xf>
    <xf numFmtId="0" fontId="44" fillId="0" borderId="1" xfId="0" applyFont="1" applyBorder="1" applyAlignment="1">
      <alignment horizontal="left" vertical="center"/>
    </xf>
    <xf numFmtId="0" fontId="45" fillId="9" borderId="1" xfId="0" applyFont="1" applyFill="1" applyBorder="1" applyAlignment="1">
      <alignment vertical="center"/>
    </xf>
    <xf numFmtId="3" fontId="45" fillId="9" borderId="1" xfId="0" applyNumberFormat="1" applyFont="1" applyFill="1" applyBorder="1" applyAlignment="1">
      <alignment horizontal="center" vertical="center"/>
    </xf>
    <xf numFmtId="0" fontId="45" fillId="9" borderId="1" xfId="0" applyFont="1" applyFill="1" applyBorder="1" applyAlignment="1">
      <alignment horizontal="left" vertical="center"/>
    </xf>
    <xf numFmtId="0" fontId="45" fillId="9" borderId="1" xfId="0" applyFont="1" applyFill="1" applyBorder="1" applyAlignment="1">
      <alignment horizontal="center" vertical="center"/>
    </xf>
    <xf numFmtId="182" fontId="45" fillId="9" borderId="1" xfId="0" applyNumberFormat="1" applyFont="1" applyFill="1" applyBorder="1" applyAlignment="1">
      <alignment horizontal="center" vertical="center"/>
    </xf>
    <xf numFmtId="0" fontId="44" fillId="0" borderId="1" xfId="0" applyFont="1" applyBorder="1" applyAlignment="1">
      <alignment vertical="center" wrapText="1"/>
    </xf>
    <xf numFmtId="0" fontId="44" fillId="0" borderId="1" xfId="0" applyFont="1" applyBorder="1" applyAlignment="1">
      <alignment horizontal="center" vertical="center"/>
    </xf>
    <xf numFmtId="0" fontId="44" fillId="0" borderId="1" xfId="0" applyFont="1" applyBorder="1" applyAlignment="1">
      <alignment horizontal="left" vertical="center" wrapText="1"/>
    </xf>
    <xf numFmtId="0" fontId="44" fillId="0" borderId="1" xfId="0" applyFont="1" applyBorder="1" applyAlignment="1">
      <alignment horizontal="center" vertical="center" wrapText="1"/>
    </xf>
    <xf numFmtId="3" fontId="31" fillId="0" borderId="1" xfId="0" applyNumberFormat="1" applyFont="1" applyBorder="1" applyAlignment="1">
      <alignment horizontal="center" vertical="center" wrapText="1"/>
    </xf>
    <xf numFmtId="0" fontId="44" fillId="0" borderId="1" xfId="0" applyFont="1" applyBorder="1" applyAlignment="1">
      <alignment horizontal="left" vertical="center"/>
    </xf>
    <xf numFmtId="0" fontId="45" fillId="8" borderId="1" xfId="0" applyFont="1" applyFill="1" applyBorder="1" applyAlignment="1">
      <alignment vertical="center"/>
    </xf>
    <xf numFmtId="3" fontId="45" fillId="8" borderId="1" xfId="0" applyNumberFormat="1" applyFont="1" applyFill="1" applyBorder="1" applyAlignment="1">
      <alignment horizontal="center" vertical="center"/>
    </xf>
    <xf numFmtId="0" fontId="45" fillId="8" borderId="1" xfId="0" applyFont="1" applyFill="1" applyBorder="1" applyAlignment="1">
      <alignment horizontal="left" vertical="center"/>
    </xf>
    <xf numFmtId="0" fontId="45" fillId="8" borderId="1" xfId="0" applyFont="1" applyFill="1" applyBorder="1" applyAlignment="1">
      <alignment horizontal="center" vertical="center"/>
    </xf>
    <xf numFmtId="182" fontId="45" fillId="8" borderId="1" xfId="0" applyNumberFormat="1" applyFont="1" applyFill="1" applyBorder="1" applyAlignment="1">
      <alignment horizontal="center" vertical="center"/>
    </xf>
    <xf numFmtId="0" fontId="44" fillId="0" borderId="3"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1" xfId="0" applyFont="1" applyBorder="1" applyAlignment="1">
      <alignment vertical="center" wrapText="1"/>
    </xf>
    <xf numFmtId="0" fontId="44" fillId="0" borderId="4" xfId="0" applyFont="1" applyBorder="1" applyAlignment="1">
      <alignment horizontal="center" vertical="center" wrapText="1"/>
    </xf>
    <xf numFmtId="182" fontId="44" fillId="0" borderId="1" xfId="0" applyNumberFormat="1" applyFont="1" applyFill="1" applyBorder="1" applyAlignment="1">
      <alignment horizontal="center" vertical="center"/>
    </xf>
    <xf numFmtId="182" fontId="44" fillId="0" borderId="1" xfId="0" applyNumberFormat="1" applyFont="1" applyFill="1" applyBorder="1" applyAlignment="1">
      <alignment horizontal="center" vertical="center" wrapText="1"/>
    </xf>
    <xf numFmtId="0" fontId="45" fillId="10" borderId="1" xfId="0" applyFont="1" applyFill="1" applyBorder="1" applyAlignment="1">
      <alignment horizontal="left" vertical="center" wrapText="1"/>
    </xf>
    <xf numFmtId="0" fontId="45" fillId="10" borderId="1" xfId="0" applyFont="1" applyFill="1" applyBorder="1" applyAlignment="1">
      <alignment horizontal="center" vertical="center" wrapText="1"/>
    </xf>
    <xf numFmtId="3" fontId="29" fillId="10" borderId="1" xfId="0" applyNumberFormat="1" applyFont="1" applyFill="1" applyBorder="1" applyAlignment="1">
      <alignment horizontal="center" vertical="center" wrapText="1"/>
    </xf>
    <xf numFmtId="182" fontId="45" fillId="10" borderId="1" xfId="0" applyNumberFormat="1" applyFont="1" applyFill="1" applyBorder="1" applyAlignment="1">
      <alignment horizontal="center" vertical="center" wrapText="1"/>
    </xf>
    <xf numFmtId="3" fontId="45" fillId="10" borderId="1" xfId="0" applyNumberFormat="1" applyFont="1" applyFill="1" applyBorder="1" applyAlignment="1">
      <alignment horizontal="center" vertical="center"/>
    </xf>
    <xf numFmtId="0" fontId="44" fillId="10" borderId="1" xfId="0" applyFont="1" applyFill="1" applyBorder="1" applyAlignment="1">
      <alignment horizontal="left" vertical="center"/>
    </xf>
    <xf numFmtId="182" fontId="44" fillId="0" borderId="1" xfId="0" applyNumberFormat="1" applyFont="1" applyBorder="1" applyAlignment="1">
      <alignment horizontal="center" vertical="center" wrapText="1"/>
    </xf>
    <xf numFmtId="3" fontId="44" fillId="0" borderId="1" xfId="0" applyNumberFormat="1" applyFont="1" applyBorder="1" applyAlignment="1">
      <alignment horizontal="center" vertical="center"/>
    </xf>
    <xf numFmtId="3" fontId="44" fillId="0" borderId="1" xfId="0" applyNumberFormat="1" applyFont="1" applyBorder="1" applyAlignment="1">
      <alignment horizontal="center" vertical="center" wrapText="1"/>
    </xf>
    <xf numFmtId="3" fontId="31" fillId="0" borderId="1" xfId="0" applyNumberFormat="1" applyFont="1" applyBorder="1" applyAlignment="1">
      <alignment horizontal="center" vertical="center"/>
    </xf>
    <xf numFmtId="0" fontId="44" fillId="11" borderId="1" xfId="0" applyFont="1" applyFill="1" applyBorder="1" applyAlignment="1">
      <alignment vertical="center"/>
    </xf>
    <xf numFmtId="3" fontId="44" fillId="11" borderId="1" xfId="0" applyNumberFormat="1" applyFont="1" applyFill="1" applyBorder="1" applyAlignment="1">
      <alignment horizontal="center" vertical="center"/>
    </xf>
    <xf numFmtId="0" fontId="44" fillId="11" borderId="1" xfId="0" applyFont="1" applyFill="1" applyBorder="1" applyAlignment="1">
      <alignment horizontal="left" vertical="center"/>
    </xf>
    <xf numFmtId="0" fontId="44" fillId="11" borderId="1" xfId="0" applyFont="1" applyFill="1" applyBorder="1" applyAlignment="1">
      <alignment horizontal="center" vertical="center"/>
    </xf>
    <xf numFmtId="182" fontId="44" fillId="11" borderId="1" xfId="0" applyNumberFormat="1" applyFont="1" applyFill="1" applyBorder="1" applyAlignment="1">
      <alignment horizontal="center" vertical="center"/>
    </xf>
    <xf numFmtId="3" fontId="45" fillId="11" borderId="1" xfId="0" applyNumberFormat="1" applyFont="1" applyFill="1" applyBorder="1" applyAlignment="1">
      <alignment horizontal="center" vertical="center"/>
    </xf>
    <xf numFmtId="0" fontId="44" fillId="0" borderId="1" xfId="0" applyFont="1" applyBorder="1"/>
    <xf numFmtId="3" fontId="29" fillId="10" borderId="1" xfId="0" applyNumberFormat="1" applyFont="1" applyFill="1" applyBorder="1" applyAlignment="1">
      <alignment vertical="center" wrapText="1"/>
    </xf>
    <xf numFmtId="167" fontId="12" fillId="0" borderId="0" xfId="1" applyNumberFormat="1" applyFont="1" applyAlignment="1">
      <alignment horizontal="center"/>
    </xf>
    <xf numFmtId="167" fontId="12" fillId="0" borderId="0" xfId="0" applyNumberFormat="1" applyFont="1" applyAlignment="1">
      <alignment horizontal="center"/>
    </xf>
    <xf numFmtId="167" fontId="0" fillId="0" borderId="0" xfId="0" applyNumberFormat="1"/>
    <xf numFmtId="167" fontId="12" fillId="0" borderId="0" xfId="1" applyNumberFormat="1" applyFont="1" applyAlignment="1">
      <alignment horizontal="center" vertical="center"/>
    </xf>
    <xf numFmtId="167" fontId="0" fillId="0" borderId="0" xfId="0" applyNumberFormat="1" applyAlignment="1">
      <alignment horizontal="center"/>
    </xf>
    <xf numFmtId="167" fontId="0" fillId="0" borderId="0" xfId="0" applyNumberFormat="1" applyFill="1" applyAlignment="1">
      <alignment horizontal="center"/>
    </xf>
    <xf numFmtId="167" fontId="0" fillId="0" borderId="0" xfId="0" applyNumberFormat="1" applyFill="1"/>
    <xf numFmtId="167" fontId="27" fillId="5" borderId="1" xfId="0" applyNumberFormat="1" applyFont="1" applyFill="1" applyBorder="1" applyAlignment="1">
      <alignment horizontal="center" vertical="center" wrapText="1"/>
    </xf>
    <xf numFmtId="167" fontId="27" fillId="5" borderId="3" xfId="0" applyNumberFormat="1" applyFont="1" applyFill="1" applyBorder="1" applyAlignment="1">
      <alignment horizontal="center" vertical="center" wrapText="1"/>
    </xf>
    <xf numFmtId="167" fontId="27" fillId="5" borderId="29" xfId="0" applyNumberFormat="1" applyFont="1" applyFill="1" applyBorder="1" applyAlignment="1">
      <alignment horizontal="center" vertical="center" wrapText="1"/>
    </xf>
    <xf numFmtId="167" fontId="27" fillId="5" borderId="1" xfId="0" applyNumberFormat="1" applyFont="1" applyFill="1" applyBorder="1" applyAlignment="1">
      <alignment horizontal="center" vertical="center" wrapText="1"/>
    </xf>
    <xf numFmtId="167" fontId="27" fillId="12" borderId="29" xfId="0" applyNumberFormat="1" applyFont="1" applyFill="1" applyBorder="1" applyAlignment="1">
      <alignment horizontal="center" vertical="center" wrapText="1"/>
    </xf>
    <xf numFmtId="167" fontId="27" fillId="12" borderId="30" xfId="0" applyNumberFormat="1" applyFont="1" applyFill="1" applyBorder="1" applyAlignment="1">
      <alignment horizontal="center" vertical="center" wrapText="1"/>
    </xf>
    <xf numFmtId="167" fontId="27" fillId="5" borderId="1" xfId="0" applyNumberFormat="1" applyFont="1" applyFill="1" applyBorder="1" applyAlignment="1">
      <alignment horizontal="center" wrapText="1"/>
    </xf>
    <xf numFmtId="167" fontId="27" fillId="5" borderId="29" xfId="0" applyNumberFormat="1" applyFont="1" applyFill="1" applyBorder="1" applyAlignment="1">
      <alignment horizontal="center" vertical="center"/>
    </xf>
    <xf numFmtId="167" fontId="27" fillId="5" borderId="31" xfId="0" applyNumberFormat="1" applyFont="1" applyFill="1" applyBorder="1" applyAlignment="1">
      <alignment horizontal="center" vertical="center"/>
    </xf>
    <xf numFmtId="167" fontId="27" fillId="5" borderId="30" xfId="0" applyNumberFormat="1" applyFont="1" applyFill="1" applyBorder="1" applyAlignment="1">
      <alignment horizontal="center" vertical="center"/>
    </xf>
    <xf numFmtId="167" fontId="28" fillId="0" borderId="0" xfId="0" applyNumberFormat="1" applyFont="1" applyBorder="1"/>
    <xf numFmtId="167" fontId="28" fillId="0" borderId="0" xfId="0" applyNumberFormat="1" applyFont="1"/>
    <xf numFmtId="167" fontId="27" fillId="5" borderId="4" xfId="0" applyNumberFormat="1" applyFont="1" applyFill="1" applyBorder="1" applyAlignment="1">
      <alignment horizontal="center" vertical="center" wrapText="1"/>
    </xf>
    <xf numFmtId="167" fontId="27" fillId="5" borderId="3" xfId="0" applyNumberFormat="1" applyFont="1" applyFill="1" applyBorder="1" applyAlignment="1">
      <alignment horizontal="center" vertical="center" wrapText="1"/>
    </xf>
    <xf numFmtId="167" fontId="27" fillId="12" borderId="3" xfId="0" applyNumberFormat="1" applyFont="1" applyFill="1" applyBorder="1" applyAlignment="1">
      <alignment horizontal="center" vertical="center" wrapText="1"/>
    </xf>
    <xf numFmtId="167" fontId="27" fillId="5" borderId="3" xfId="0" applyNumberFormat="1" applyFont="1" applyFill="1" applyBorder="1" applyAlignment="1">
      <alignment horizontal="center" wrapText="1"/>
    </xf>
    <xf numFmtId="167" fontId="27" fillId="5" borderId="2" xfId="0" applyNumberFormat="1" applyFont="1" applyFill="1" applyBorder="1" applyAlignment="1">
      <alignment horizontal="center" vertical="center" wrapText="1"/>
    </xf>
    <xf numFmtId="167" fontId="27" fillId="5" borderId="3" xfId="0" applyNumberFormat="1" applyFont="1" applyFill="1" applyBorder="1" applyAlignment="1">
      <alignment horizontal="center" vertical="top" wrapText="1"/>
    </xf>
    <xf numFmtId="4" fontId="27" fillId="5" borderId="3" xfId="0" applyNumberFormat="1" applyFont="1" applyFill="1" applyBorder="1" applyAlignment="1">
      <alignment horizontal="right" vertical="center" wrapText="1"/>
    </xf>
    <xf numFmtId="4" fontId="0" fillId="0" borderId="1" xfId="0" applyNumberFormat="1" applyFill="1" applyBorder="1" applyAlignment="1">
      <alignment vertical="center" wrapText="1"/>
    </xf>
    <xf numFmtId="4" fontId="0" fillId="0" borderId="1" xfId="0" applyNumberFormat="1" applyFill="1" applyBorder="1" applyAlignment="1">
      <alignment horizontal="center" vertical="center" wrapText="1"/>
    </xf>
    <xf numFmtId="167" fontId="0" fillId="0" borderId="29" xfId="0" applyNumberFormat="1" applyBorder="1" applyAlignment="1">
      <alignment horizontal="justify" vertical="top" wrapText="1"/>
    </xf>
    <xf numFmtId="44" fontId="0" fillId="0" borderId="1" xfId="4" applyFont="1" applyFill="1" applyBorder="1" applyAlignment="1">
      <alignment horizontal="center" vertical="center" wrapText="1"/>
    </xf>
    <xf numFmtId="44" fontId="0" fillId="0" borderId="1" xfId="4" applyFont="1" applyBorder="1"/>
    <xf numFmtId="4" fontId="0" fillId="0" borderId="1" xfId="0" applyNumberFormat="1" applyBorder="1" applyAlignment="1">
      <alignment horizontal="center" vertical="center"/>
    </xf>
    <xf numFmtId="44" fontId="0" fillId="0" borderId="1" xfId="4" applyFont="1" applyBorder="1" applyAlignment="1">
      <alignment horizontal="center" vertical="center"/>
    </xf>
    <xf numFmtId="4" fontId="0" fillId="0" borderId="1" xfId="0" applyNumberFormat="1" applyBorder="1" applyAlignment="1">
      <alignment horizontal="center"/>
    </xf>
    <xf numFmtId="167" fontId="0" fillId="0" borderId="1" xfId="0" applyNumberFormat="1" applyBorder="1" applyAlignment="1">
      <alignment horizontal="center"/>
    </xf>
    <xf numFmtId="14" fontId="0" fillId="0" borderId="1" xfId="0" applyNumberFormat="1" applyFill="1" applyBorder="1" applyAlignment="1">
      <alignment horizontal="center" wrapText="1"/>
    </xf>
    <xf numFmtId="14" fontId="0" fillId="0" borderId="1" xfId="0" applyNumberFormat="1" applyFill="1" applyBorder="1" applyAlignment="1">
      <alignment wrapText="1"/>
    </xf>
    <xf numFmtId="167" fontId="0" fillId="0" borderId="1" xfId="0" applyNumberFormat="1" applyBorder="1" applyAlignment="1">
      <alignment horizontal="center" vertical="center"/>
    </xf>
    <xf numFmtId="43" fontId="0" fillId="0" borderId="1" xfId="451" applyFont="1" applyBorder="1" applyAlignment="1">
      <alignment horizontal="right"/>
    </xf>
    <xf numFmtId="167" fontId="0" fillId="0" borderId="29" xfId="0" applyNumberFormat="1" applyBorder="1" applyAlignment="1">
      <alignment horizontal="left" vertical="top" wrapText="1"/>
    </xf>
    <xf numFmtId="14" fontId="0" fillId="0" borderId="1" xfId="0" applyNumberFormat="1" applyFill="1" applyBorder="1" applyAlignment="1">
      <alignment vertical="center" wrapText="1"/>
    </xf>
    <xf numFmtId="184" fontId="0" fillId="0" borderId="1" xfId="0" applyNumberFormat="1" applyFill="1" applyBorder="1" applyAlignment="1">
      <alignment horizontal="center" vertical="center" wrapText="1"/>
    </xf>
    <xf numFmtId="167" fontId="14" fillId="0" borderId="1" xfId="0" applyNumberFormat="1" applyFont="1" applyBorder="1" applyAlignment="1">
      <alignment horizontal="center" vertical="center"/>
    </xf>
    <xf numFmtId="167" fontId="0" fillId="2" borderId="1" xfId="0" applyNumberFormat="1" applyFill="1" applyBorder="1" applyAlignment="1">
      <alignment horizontal="center" vertical="center" wrapText="1"/>
    </xf>
    <xf numFmtId="167" fontId="0" fillId="2" borderId="29" xfId="0" applyNumberFormat="1" applyFont="1" applyFill="1" applyBorder="1" applyAlignment="1">
      <alignment horizontal="center" vertical="center" wrapText="1"/>
    </xf>
    <xf numFmtId="167" fontId="0" fillId="0" borderId="1" xfId="0" applyNumberFormat="1" applyBorder="1"/>
    <xf numFmtId="167" fontId="0" fillId="0" borderId="3" xfId="0" applyNumberFormat="1" applyBorder="1" applyAlignment="1">
      <alignment horizontal="justify" vertical="justify" wrapText="1"/>
    </xf>
    <xf numFmtId="167" fontId="0" fillId="0" borderId="2" xfId="0" applyNumberFormat="1" applyBorder="1" applyAlignment="1">
      <alignment horizontal="justify" vertical="justify" wrapText="1"/>
    </xf>
    <xf numFmtId="167" fontId="0" fillId="0" borderId="3" xfId="0" applyNumberFormat="1" applyBorder="1" applyAlignment="1">
      <alignment horizontal="left" vertical="center" wrapText="1"/>
    </xf>
    <xf numFmtId="167" fontId="0" fillId="0" borderId="2" xfId="0" applyNumberFormat="1" applyBorder="1" applyAlignment="1">
      <alignment horizontal="left" vertical="center" wrapText="1"/>
    </xf>
    <xf numFmtId="4" fontId="0" fillId="0" borderId="1" xfId="0" applyNumberFormat="1" applyFill="1" applyBorder="1" applyAlignment="1">
      <alignment horizontal="center" vertical="center"/>
    </xf>
    <xf numFmtId="167" fontId="0" fillId="0" borderId="1" xfId="0" applyNumberFormat="1" applyBorder="1" applyAlignment="1">
      <alignment horizontal="left" vertical="top" wrapText="1"/>
    </xf>
    <xf numFmtId="167" fontId="0" fillId="0" borderId="1" xfId="0" applyNumberFormat="1" applyBorder="1" applyAlignment="1">
      <alignment horizontal="center" vertical="center" wrapText="1"/>
    </xf>
    <xf numFmtId="167" fontId="0" fillId="0" borderId="1" xfId="0" applyNumberFormat="1" applyFill="1" applyBorder="1" applyAlignment="1">
      <alignment vertical="center"/>
    </xf>
    <xf numFmtId="175" fontId="0" fillId="0" borderId="1" xfId="451" applyNumberFormat="1" applyFont="1" applyFill="1" applyBorder="1" applyAlignment="1">
      <alignment horizontal="center" vertical="center"/>
    </xf>
    <xf numFmtId="167" fontId="0" fillId="0" borderId="1" xfId="0" applyNumberFormat="1" applyFill="1" applyBorder="1" applyAlignment="1">
      <alignment horizontal="center" vertical="center"/>
    </xf>
    <xf numFmtId="167" fontId="0" fillId="2" borderId="1" xfId="0" applyNumberFormat="1" applyFill="1" applyBorder="1" applyAlignment="1">
      <alignment horizontal="center" vertical="center"/>
    </xf>
    <xf numFmtId="167" fontId="0" fillId="0" borderId="1" xfId="0" applyNumberFormat="1" applyBorder="1" applyAlignment="1">
      <alignment vertical="center"/>
    </xf>
    <xf numFmtId="167" fontId="0" fillId="2" borderId="1" xfId="0" applyNumberFormat="1" applyFill="1" applyBorder="1"/>
    <xf numFmtId="167" fontId="0" fillId="0" borderId="29" xfId="0" applyNumberFormat="1" applyFill="1" applyBorder="1" applyAlignment="1">
      <alignment horizontal="justify" vertical="center" wrapText="1"/>
    </xf>
    <xf numFmtId="167" fontId="0" fillId="2" borderId="1" xfId="0" applyNumberFormat="1" applyFill="1" applyBorder="1" applyAlignment="1">
      <alignment horizontal="center"/>
    </xf>
    <xf numFmtId="167" fontId="0" fillId="0" borderId="3" xfId="0" applyNumberFormat="1" applyBorder="1" applyAlignment="1">
      <alignment horizontal="center" vertical="center"/>
    </xf>
    <xf numFmtId="167" fontId="0" fillId="0" borderId="3" xfId="0" applyNumberFormat="1" applyBorder="1" applyAlignment="1">
      <alignment horizontal="justify" vertical="center" wrapText="1"/>
    </xf>
    <xf numFmtId="167" fontId="0" fillId="2" borderId="3" xfId="0" applyNumberFormat="1" applyFill="1" applyBorder="1" applyAlignment="1">
      <alignment horizontal="center" vertical="center"/>
    </xf>
    <xf numFmtId="167" fontId="0" fillId="2" borderId="3" xfId="0" applyNumberFormat="1" applyFill="1" applyBorder="1" applyAlignment="1">
      <alignment horizontal="center" vertical="center" wrapText="1"/>
    </xf>
    <xf numFmtId="167" fontId="0" fillId="0" borderId="3" xfId="0" applyNumberFormat="1" applyBorder="1" applyAlignment="1">
      <alignment horizontal="center"/>
    </xf>
    <xf numFmtId="167" fontId="0" fillId="0" borderId="4" xfId="0" applyNumberFormat="1" applyBorder="1" applyAlignment="1">
      <alignment horizontal="center" vertical="center"/>
    </xf>
    <xf numFmtId="167" fontId="0" fillId="0" borderId="4" xfId="0" applyNumberFormat="1" applyBorder="1" applyAlignment="1">
      <alignment horizontal="justify" vertical="center" wrapText="1"/>
    </xf>
    <xf numFmtId="167" fontId="0" fillId="2" borderId="4" xfId="0" applyNumberFormat="1" applyFill="1" applyBorder="1" applyAlignment="1">
      <alignment horizontal="center" vertical="center"/>
    </xf>
    <xf numFmtId="167" fontId="0" fillId="0" borderId="4" xfId="0" applyNumberFormat="1" applyBorder="1" applyAlignment="1">
      <alignment horizontal="center"/>
    </xf>
    <xf numFmtId="167" fontId="0" fillId="0" borderId="2" xfId="0" applyNumberFormat="1" applyBorder="1" applyAlignment="1">
      <alignment horizontal="center" vertical="center"/>
    </xf>
    <xf numFmtId="167" fontId="0" fillId="0" borderId="2" xfId="0" applyNumberFormat="1" applyBorder="1" applyAlignment="1">
      <alignment horizontal="justify" vertical="center" wrapText="1"/>
    </xf>
    <xf numFmtId="167" fontId="0" fillId="2" borderId="2" xfId="0" applyNumberFormat="1" applyFill="1" applyBorder="1" applyAlignment="1">
      <alignment horizontal="center" vertical="center"/>
    </xf>
    <xf numFmtId="167" fontId="0" fillId="0" borderId="2" xfId="0" applyNumberFormat="1" applyBorder="1" applyAlignment="1">
      <alignment horizontal="center"/>
    </xf>
    <xf numFmtId="167" fontId="0" fillId="2" borderId="1" xfId="0" applyNumberFormat="1" applyFill="1" applyBorder="1" applyAlignment="1">
      <alignment wrapText="1"/>
    </xf>
    <xf numFmtId="167" fontId="0" fillId="0" borderId="3" xfId="0" applyNumberFormat="1" applyBorder="1" applyAlignment="1">
      <alignment vertical="center"/>
    </xf>
    <xf numFmtId="167" fontId="0" fillId="0" borderId="29" xfId="0" applyNumberFormat="1" applyBorder="1" applyAlignment="1">
      <alignment horizontal="justify" vertical="center" wrapText="1"/>
    </xf>
    <xf numFmtId="167" fontId="0" fillId="2" borderId="1" xfId="0" applyNumberFormat="1" applyFill="1" applyBorder="1" applyAlignment="1">
      <alignment vertical="center"/>
    </xf>
    <xf numFmtId="167" fontId="0" fillId="0" borderId="1" xfId="0" applyNumberFormat="1" applyBorder="1" applyAlignment="1">
      <alignment vertical="top" wrapText="1"/>
    </xf>
    <xf numFmtId="177" fontId="0" fillId="0" borderId="1" xfId="451" applyNumberFormat="1" applyFont="1" applyBorder="1" applyAlignment="1">
      <alignment horizontal="center" vertical="center"/>
    </xf>
    <xf numFmtId="14" fontId="0" fillId="0" borderId="1" xfId="0" applyNumberFormat="1" applyBorder="1" applyAlignment="1">
      <alignment horizontal="center" vertical="center"/>
    </xf>
    <xf numFmtId="167" fontId="0" fillId="0" borderId="29" xfId="0" applyNumberFormat="1" applyBorder="1" applyAlignment="1">
      <alignment horizontal="left" vertical="center" wrapText="1"/>
    </xf>
    <xf numFmtId="167" fontId="0" fillId="0" borderId="1" xfId="0" quotePrefix="1" applyNumberFormat="1" applyBorder="1" applyAlignment="1">
      <alignment horizontal="center" vertical="center"/>
    </xf>
    <xf numFmtId="3" fontId="0" fillId="2" borderId="1" xfId="0" applyNumberFormat="1" applyFill="1" applyBorder="1" applyAlignment="1">
      <alignment horizontal="center" vertical="center"/>
    </xf>
    <xf numFmtId="167" fontId="0" fillId="0" borderId="1" xfId="0" applyNumberFormat="1" applyFill="1" applyBorder="1" applyAlignment="1">
      <alignment vertical="center" wrapText="1"/>
    </xf>
    <xf numFmtId="3" fontId="0" fillId="2" borderId="1" xfId="0" applyNumberFormat="1" applyFill="1" applyBorder="1" applyAlignment="1">
      <alignment horizontal="center"/>
    </xf>
    <xf numFmtId="167" fontId="0" fillId="0" borderId="1" xfId="0" applyNumberFormat="1" applyFill="1" applyBorder="1" applyAlignment="1">
      <alignment horizontal="center"/>
    </xf>
    <xf numFmtId="167" fontId="0" fillId="0" borderId="29" xfId="0" applyNumberFormat="1" applyFill="1" applyBorder="1" applyAlignment="1">
      <alignment horizontal="left" vertical="top" wrapText="1"/>
    </xf>
    <xf numFmtId="167" fontId="0" fillId="0" borderId="29" xfId="0" applyNumberFormat="1" applyFill="1" applyBorder="1" applyAlignment="1">
      <alignment horizontal="left" vertical="center" wrapText="1"/>
    </xf>
    <xf numFmtId="164" fontId="0" fillId="2" borderId="1" xfId="0" applyNumberFormat="1" applyFill="1" applyBorder="1" applyAlignment="1">
      <alignment horizontal="center" vertical="center"/>
    </xf>
    <xf numFmtId="164" fontId="0" fillId="0" borderId="1" xfId="0" applyNumberFormat="1" applyFill="1" applyBorder="1" applyAlignment="1">
      <alignment horizontal="center" vertical="center"/>
    </xf>
    <xf numFmtId="167" fontId="0" fillId="0" borderId="29" xfId="0" applyNumberFormat="1" applyBorder="1" applyAlignment="1">
      <alignment horizontal="center" vertical="center" wrapText="1"/>
    </xf>
    <xf numFmtId="167" fontId="0" fillId="0" borderId="29" xfId="0" applyNumberFormat="1" applyFont="1" applyBorder="1" applyAlignment="1">
      <alignment horizontal="center" vertical="center" wrapText="1"/>
    </xf>
    <xf numFmtId="17"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wrapText="1"/>
    </xf>
    <xf numFmtId="4" fontId="0" fillId="0" borderId="1" xfId="0" applyNumberFormat="1" applyFill="1" applyBorder="1" applyAlignment="1">
      <alignment horizontal="left"/>
    </xf>
    <xf numFmtId="167" fontId="48" fillId="0" borderId="0" xfId="0" applyNumberFormat="1" applyFont="1" applyAlignment="1">
      <alignment wrapText="1"/>
    </xf>
    <xf numFmtId="4" fontId="0" fillId="0" borderId="1" xfId="0" applyNumberFormat="1" applyFill="1" applyBorder="1" applyAlignment="1"/>
    <xf numFmtId="167" fontId="0" fillId="0" borderId="1" xfId="0" applyNumberFormat="1" applyFill="1" applyBorder="1"/>
    <xf numFmtId="4" fontId="0" fillId="0" borderId="1" xfId="0" applyNumberFormat="1" applyFill="1" applyBorder="1" applyAlignment="1">
      <alignment horizontal="center"/>
    </xf>
    <xf numFmtId="167" fontId="0" fillId="0" borderId="1" xfId="0" applyNumberFormat="1" applyFill="1" applyBorder="1" applyAlignment="1">
      <alignment wrapText="1"/>
    </xf>
    <xf numFmtId="167" fontId="0" fillId="0" borderId="1" xfId="0" applyNumberFormat="1" applyBorder="1" applyAlignment="1">
      <alignment wrapText="1"/>
    </xf>
    <xf numFmtId="4" fontId="0" fillId="0" borderId="1" xfId="0" applyNumberFormat="1" applyBorder="1" applyAlignment="1"/>
    <xf numFmtId="167" fontId="49" fillId="0" borderId="1" xfId="0" applyNumberFormat="1" applyFont="1" applyFill="1" applyBorder="1" applyAlignment="1">
      <alignment horizontal="left" vertical="center" wrapText="1"/>
    </xf>
    <xf numFmtId="175" fontId="0" fillId="0" borderId="1" xfId="0" applyNumberFormat="1" applyBorder="1" applyAlignment="1">
      <alignment horizontal="center" vertical="center"/>
    </xf>
    <xf numFmtId="175" fontId="0" fillId="0" borderId="1" xfId="0" applyNumberFormat="1" applyBorder="1" applyAlignment="1">
      <alignment vertical="center"/>
    </xf>
    <xf numFmtId="167" fontId="0" fillId="0" borderId="3" xfId="0" applyNumberFormat="1" applyBorder="1" applyAlignment="1">
      <alignment horizontal="center" vertical="center" wrapText="1"/>
    </xf>
    <xf numFmtId="167" fontId="0" fillId="0" borderId="4" xfId="0" applyNumberFormat="1" applyBorder="1" applyAlignment="1">
      <alignment horizontal="center" vertical="center" wrapText="1"/>
    </xf>
    <xf numFmtId="167" fontId="0" fillId="0" borderId="2" xfId="0" applyNumberFormat="1" applyBorder="1" applyAlignment="1">
      <alignment horizontal="center" vertical="center" wrapText="1"/>
    </xf>
    <xf numFmtId="167" fontId="30" fillId="7" borderId="1" xfId="0" applyNumberFormat="1" applyFont="1" applyFill="1" applyBorder="1" applyAlignment="1">
      <alignment horizontal="center" vertical="center" wrapText="1"/>
    </xf>
    <xf numFmtId="167" fontId="30" fillId="7" borderId="1" xfId="0" applyNumberFormat="1" applyFont="1" applyFill="1" applyBorder="1" applyAlignment="1">
      <alignment horizontal="left" vertical="center" wrapText="1" indent="1"/>
    </xf>
    <xf numFmtId="167" fontId="30" fillId="0" borderId="1" xfId="0" applyNumberFormat="1" applyFont="1" applyFill="1" applyBorder="1" applyAlignment="1">
      <alignment horizontal="center" vertical="center" wrapText="1"/>
    </xf>
    <xf numFmtId="167" fontId="0" fillId="0" borderId="0" xfId="0" applyNumberFormat="1" applyAlignment="1">
      <alignment horizontal="center" vertical="center"/>
    </xf>
  </cellXfs>
  <cellStyles count="452">
    <cellStyle name="Euro" xfId="5"/>
    <cellStyle name="Millares" xfId="451" builtinId="3"/>
    <cellStyle name="Millares 10" xfId="6"/>
    <cellStyle name="Millares 10 10" xfId="7"/>
    <cellStyle name="Millares 10 11" xfId="8"/>
    <cellStyle name="Millares 10 2" xfId="9"/>
    <cellStyle name="Millares 10 3" xfId="10"/>
    <cellStyle name="Millares 10 4" xfId="11"/>
    <cellStyle name="Millares 10 5" xfId="12"/>
    <cellStyle name="Millares 10 6" xfId="13"/>
    <cellStyle name="Millares 10 7" xfId="14"/>
    <cellStyle name="Millares 10 8" xfId="15"/>
    <cellStyle name="Millares 10 9" xfId="16"/>
    <cellStyle name="Millares 11" xfId="17"/>
    <cellStyle name="Millares 11 2" xfId="18"/>
    <cellStyle name="Millares 11 3" xfId="19"/>
    <cellStyle name="Millares 11 4" xfId="20"/>
    <cellStyle name="Millares 11 5" xfId="21"/>
    <cellStyle name="Millares 11 6" xfId="22"/>
    <cellStyle name="Millares 11 7" xfId="23"/>
    <cellStyle name="Millares 11 8" xfId="24"/>
    <cellStyle name="Millares 11 9" xfId="25"/>
    <cellStyle name="Millares 12" xfId="26"/>
    <cellStyle name="Millares 12 2" xfId="27"/>
    <cellStyle name="Millares 12 3" xfId="28"/>
    <cellStyle name="Millares 12 4" xfId="29"/>
    <cellStyle name="Millares 12 5" xfId="30"/>
    <cellStyle name="Millares 12 6" xfId="31"/>
    <cellStyle name="Millares 12 7" xfId="32"/>
    <cellStyle name="Millares 12 8" xfId="33"/>
    <cellStyle name="Millares 12 9" xfId="34"/>
    <cellStyle name="Millares 13" xfId="35"/>
    <cellStyle name="Millares 13 2" xfId="36"/>
    <cellStyle name="Millares 13 3" xfId="37"/>
    <cellStyle name="Millares 13 4" xfId="38"/>
    <cellStyle name="Millares 13 5" xfId="39"/>
    <cellStyle name="Millares 13 6" xfId="40"/>
    <cellStyle name="Millares 13 7" xfId="41"/>
    <cellStyle name="Millares 14" xfId="42"/>
    <cellStyle name="Millares 14 2" xfId="43"/>
    <cellStyle name="Millares 14 3" xfId="44"/>
    <cellStyle name="Millares 14 4" xfId="45"/>
    <cellStyle name="Millares 14 5" xfId="46"/>
    <cellStyle name="Millares 14 6" xfId="47"/>
    <cellStyle name="Millares 14 7" xfId="48"/>
    <cellStyle name="Millares 15" xfId="49"/>
    <cellStyle name="Millares 15 2" xfId="50"/>
    <cellStyle name="Millares 15 3" xfId="51"/>
    <cellStyle name="Millares 15 4" xfId="52"/>
    <cellStyle name="Millares 15 5" xfId="53"/>
    <cellStyle name="Millares 16" xfId="54"/>
    <cellStyle name="Millares 16 2" xfId="55"/>
    <cellStyle name="Millares 16 3" xfId="56"/>
    <cellStyle name="Millares 16 4" xfId="57"/>
    <cellStyle name="Millares 16 5" xfId="58"/>
    <cellStyle name="Millares 17" xfId="59"/>
    <cellStyle name="Millares 17 2" xfId="60"/>
    <cellStyle name="Millares 17 3" xfId="61"/>
    <cellStyle name="Millares 18" xfId="62"/>
    <cellStyle name="Millares 18 2" xfId="63"/>
    <cellStyle name="Millares 18 3" xfId="64"/>
    <cellStyle name="Millares 19" xfId="65"/>
    <cellStyle name="Millares 2" xfId="66"/>
    <cellStyle name="Millares 2 10" xfId="67"/>
    <cellStyle name="Millares 2 11" xfId="68"/>
    <cellStyle name="Millares 2 12" xfId="69"/>
    <cellStyle name="Millares 2 13" xfId="70"/>
    <cellStyle name="Millares 2 14" xfId="71"/>
    <cellStyle name="Millares 2 15" xfId="72"/>
    <cellStyle name="Millares 2 16" xfId="73"/>
    <cellStyle name="Millares 2 17" xfId="74"/>
    <cellStyle name="Millares 2 18" xfId="75"/>
    <cellStyle name="Millares 2 19" xfId="76"/>
    <cellStyle name="Millares 2 2" xfId="77"/>
    <cellStyle name="Millares 2 2 2" xfId="78"/>
    <cellStyle name="Millares 2 2 2 2" xfId="79"/>
    <cellStyle name="Millares 2 2 3" xfId="80"/>
    <cellStyle name="Millares 2 2 3 2" xfId="81"/>
    <cellStyle name="Millares 2 2 4" xfId="82"/>
    <cellStyle name="Millares 2 2 5" xfId="83"/>
    <cellStyle name="Millares 2 20" xfId="84"/>
    <cellStyle name="Millares 2 21" xfId="85"/>
    <cellStyle name="Millares 2 22" xfId="86"/>
    <cellStyle name="Millares 2 23" xfId="87"/>
    <cellStyle name="Millares 2 24" xfId="88"/>
    <cellStyle name="Millares 2 25" xfId="89"/>
    <cellStyle name="Millares 2 26" xfId="90"/>
    <cellStyle name="Millares 2 27" xfId="91"/>
    <cellStyle name="Millares 2 28" xfId="92"/>
    <cellStyle name="Millares 2 29" xfId="93"/>
    <cellStyle name="Millares 2 3" xfId="94"/>
    <cellStyle name="Millares 2 3 2" xfId="95"/>
    <cellStyle name="Millares 2 30" xfId="96"/>
    <cellStyle name="Millares 2 31" xfId="97"/>
    <cellStyle name="Millares 2 32" xfId="98"/>
    <cellStyle name="Millares 2 33" xfId="99"/>
    <cellStyle name="Millares 2 34" xfId="100"/>
    <cellStyle name="Millares 2 35" xfId="101"/>
    <cellStyle name="Millares 2 36" xfId="102"/>
    <cellStyle name="Millares 2 4" xfId="103"/>
    <cellStyle name="Millares 2 4 2" xfId="104"/>
    <cellStyle name="Millares 2 5" xfId="105"/>
    <cellStyle name="Millares 2 6" xfId="106"/>
    <cellStyle name="Millares 2 7" xfId="107"/>
    <cellStyle name="Millares 2 8" xfId="108"/>
    <cellStyle name="Millares 2 9" xfId="109"/>
    <cellStyle name="Millares 20" xfId="110"/>
    <cellStyle name="Millares 21" xfId="111"/>
    <cellStyle name="Millares 22" xfId="112"/>
    <cellStyle name="Millares 23" xfId="113"/>
    <cellStyle name="Millares 24" xfId="114"/>
    <cellStyle name="Millares 25" xfId="115"/>
    <cellStyle name="Millares 26" xfId="116"/>
    <cellStyle name="Millares 3" xfId="117"/>
    <cellStyle name="Millares 3 10" xfId="118"/>
    <cellStyle name="Millares 3 11" xfId="119"/>
    <cellStyle name="Millares 3 12" xfId="120"/>
    <cellStyle name="Millares 3 13" xfId="121"/>
    <cellStyle name="Millares 3 14" xfId="122"/>
    <cellStyle name="Millares 3 15" xfId="123"/>
    <cellStyle name="Millares 3 16" xfId="124"/>
    <cellStyle name="Millares 3 17" xfId="125"/>
    <cellStyle name="Millares 3 18" xfId="126"/>
    <cellStyle name="Millares 3 2" xfId="127"/>
    <cellStyle name="Millares 3 3" xfId="128"/>
    <cellStyle name="Millares 3 4" xfId="129"/>
    <cellStyle name="Millares 3 5" xfId="130"/>
    <cellStyle name="Millares 3 6" xfId="131"/>
    <cellStyle name="Millares 3 7" xfId="132"/>
    <cellStyle name="Millares 3 8" xfId="133"/>
    <cellStyle name="Millares 3 9" xfId="134"/>
    <cellStyle name="Millares 4" xfId="135"/>
    <cellStyle name="Millares 4 10" xfId="136"/>
    <cellStyle name="Millares 4 11" xfId="137"/>
    <cellStyle name="Millares 4 12" xfId="138"/>
    <cellStyle name="Millares 4 13" xfId="139"/>
    <cellStyle name="Millares 4 14" xfId="140"/>
    <cellStyle name="Millares 4 15" xfId="141"/>
    <cellStyle name="Millares 4 16" xfId="142"/>
    <cellStyle name="Millares 4 17" xfId="143"/>
    <cellStyle name="Millares 4 2" xfId="144"/>
    <cellStyle name="Millares 4 3" xfId="145"/>
    <cellStyle name="Millares 4 4" xfId="146"/>
    <cellStyle name="Millares 4 5" xfId="147"/>
    <cellStyle name="Millares 4 6" xfId="148"/>
    <cellStyle name="Millares 4 7" xfId="149"/>
    <cellStyle name="Millares 4 8" xfId="150"/>
    <cellStyle name="Millares 4 9" xfId="151"/>
    <cellStyle name="Millares 5" xfId="152"/>
    <cellStyle name="Millares 5 10" xfId="153"/>
    <cellStyle name="Millares 5 11" xfId="154"/>
    <cellStyle name="Millares 5 12" xfId="155"/>
    <cellStyle name="Millares 5 13" xfId="156"/>
    <cellStyle name="Millares 5 14" xfId="157"/>
    <cellStyle name="Millares 5 15" xfId="158"/>
    <cellStyle name="Millares 5 16" xfId="159"/>
    <cellStyle name="Millares 5 2" xfId="160"/>
    <cellStyle name="Millares 5 3" xfId="161"/>
    <cellStyle name="Millares 5 4" xfId="162"/>
    <cellStyle name="Millares 5 5" xfId="163"/>
    <cellStyle name="Millares 5 6" xfId="164"/>
    <cellStyle name="Millares 5 7" xfId="165"/>
    <cellStyle name="Millares 5 8" xfId="166"/>
    <cellStyle name="Millares 5 9" xfId="167"/>
    <cellStyle name="Millares 6" xfId="168"/>
    <cellStyle name="Millares 6 10" xfId="169"/>
    <cellStyle name="Millares 6 11" xfId="170"/>
    <cellStyle name="Millares 6 12" xfId="171"/>
    <cellStyle name="Millares 6 13" xfId="172"/>
    <cellStyle name="Millares 6 14" xfId="173"/>
    <cellStyle name="Millares 6 15" xfId="174"/>
    <cellStyle name="Millares 6 2" xfId="175"/>
    <cellStyle name="Millares 6 3" xfId="176"/>
    <cellStyle name="Millares 6 4" xfId="177"/>
    <cellStyle name="Millares 6 5" xfId="178"/>
    <cellStyle name="Millares 6 6" xfId="179"/>
    <cellStyle name="Millares 6 7" xfId="180"/>
    <cellStyle name="Millares 6 8" xfId="181"/>
    <cellStyle name="Millares 6 9" xfId="182"/>
    <cellStyle name="Millares 7" xfId="183"/>
    <cellStyle name="Millares 7 10" xfId="184"/>
    <cellStyle name="Millares 7 11" xfId="185"/>
    <cellStyle name="Millares 7 12" xfId="186"/>
    <cellStyle name="Millares 7 13" xfId="187"/>
    <cellStyle name="Millares 7 14" xfId="188"/>
    <cellStyle name="Millares 7 2" xfId="189"/>
    <cellStyle name="Millares 7 3" xfId="190"/>
    <cellStyle name="Millares 7 4" xfId="191"/>
    <cellStyle name="Millares 7 5" xfId="192"/>
    <cellStyle name="Millares 7 6" xfId="193"/>
    <cellStyle name="Millares 7 7" xfId="194"/>
    <cellStyle name="Millares 7 8" xfId="195"/>
    <cellStyle name="Millares 7 9" xfId="196"/>
    <cellStyle name="Millares 8" xfId="197"/>
    <cellStyle name="Millares 8 10" xfId="198"/>
    <cellStyle name="Millares 8 11" xfId="199"/>
    <cellStyle name="Millares 8 12" xfId="200"/>
    <cellStyle name="Millares 8 13" xfId="201"/>
    <cellStyle name="Millares 8 2" xfId="202"/>
    <cellStyle name="Millares 8 3" xfId="203"/>
    <cellStyle name="Millares 8 4" xfId="204"/>
    <cellStyle name="Millares 8 5" xfId="205"/>
    <cellStyle name="Millares 8 6" xfId="206"/>
    <cellStyle name="Millares 8 7" xfId="207"/>
    <cellStyle name="Millares 8 8" xfId="208"/>
    <cellStyle name="Millares 8 9" xfId="209"/>
    <cellStyle name="Millares 9" xfId="210"/>
    <cellStyle name="Millares 9 10" xfId="211"/>
    <cellStyle name="Millares 9 11" xfId="212"/>
    <cellStyle name="Millares 9 12" xfId="213"/>
    <cellStyle name="Millares 9 2" xfId="214"/>
    <cellStyle name="Millares 9 3" xfId="215"/>
    <cellStyle name="Millares 9 4" xfId="216"/>
    <cellStyle name="Millares 9 5" xfId="217"/>
    <cellStyle name="Millares 9 6" xfId="218"/>
    <cellStyle name="Millares 9 7" xfId="219"/>
    <cellStyle name="Millares 9 8" xfId="220"/>
    <cellStyle name="Millares 9 9" xfId="221"/>
    <cellStyle name="Moneda" xfId="4" builtinId="4"/>
    <cellStyle name="Moneda 2" xfId="222"/>
    <cellStyle name="Moneda 2 2" xfId="223"/>
    <cellStyle name="Moneda 3" xfId="224"/>
    <cellStyle name="Moneda 3 2" xfId="225"/>
    <cellStyle name="Moneda 4" xfId="226"/>
    <cellStyle name="Moneda 5" xfId="227"/>
    <cellStyle name="Normal" xfId="0" builtinId="0"/>
    <cellStyle name="Normal 10" xfId="228"/>
    <cellStyle name="Normal 10 10" xfId="229"/>
    <cellStyle name="Normal 10 11" xfId="230"/>
    <cellStyle name="Normal 10 2" xfId="231"/>
    <cellStyle name="Normal 10 3" xfId="232"/>
    <cellStyle name="Normal 10 4" xfId="233"/>
    <cellStyle name="Normal 10 5" xfId="234"/>
    <cellStyle name="Normal 10 6" xfId="235"/>
    <cellStyle name="Normal 10 7" xfId="236"/>
    <cellStyle name="Normal 10 8" xfId="237"/>
    <cellStyle name="Normal 10 9" xfId="238"/>
    <cellStyle name="Normal 10_Seguimiento ppto 2009" xfId="239"/>
    <cellStyle name="Normal 11" xfId="240"/>
    <cellStyle name="Normal 11 10" xfId="241"/>
    <cellStyle name="Normal 11 2" xfId="242"/>
    <cellStyle name="Normal 11 3" xfId="243"/>
    <cellStyle name="Normal 11 4" xfId="244"/>
    <cellStyle name="Normal 11 5" xfId="245"/>
    <cellStyle name="Normal 11 6" xfId="246"/>
    <cellStyle name="Normal 11 7" xfId="247"/>
    <cellStyle name="Normal 11 8" xfId="248"/>
    <cellStyle name="Normal 11 9" xfId="249"/>
    <cellStyle name="Normal 11_Seguimiento ppto 2009" xfId="250"/>
    <cellStyle name="Normal 12" xfId="251"/>
    <cellStyle name="Normal 12 2" xfId="252"/>
    <cellStyle name="Normal 12 3" xfId="253"/>
    <cellStyle name="Normal 12 4" xfId="254"/>
    <cellStyle name="Normal 12 5" xfId="255"/>
    <cellStyle name="Normal 12 6" xfId="256"/>
    <cellStyle name="Normal 12 7" xfId="257"/>
    <cellStyle name="Normal 12 8" xfId="258"/>
    <cellStyle name="Normal 12_Seguimiento ppto 2009" xfId="259"/>
    <cellStyle name="Normal 13" xfId="260"/>
    <cellStyle name="Normal 13 2" xfId="261"/>
    <cellStyle name="Normal 13 3" xfId="262"/>
    <cellStyle name="Normal 13 4" xfId="263"/>
    <cellStyle name="Normal 13 5" xfId="264"/>
    <cellStyle name="Normal 13_Seguimiento ppto 2009" xfId="265"/>
    <cellStyle name="Normal 14" xfId="266"/>
    <cellStyle name="Normal 14 2" xfId="267"/>
    <cellStyle name="Normal 14 3" xfId="268"/>
    <cellStyle name="Normal 14 4" xfId="269"/>
    <cellStyle name="Normal 14_Seguimiento ppto 2009" xfId="270"/>
    <cellStyle name="Normal 15" xfId="271"/>
    <cellStyle name="Normal 16" xfId="272"/>
    <cellStyle name="Normal 16 2" xfId="273"/>
    <cellStyle name="Normal 17" xfId="274"/>
    <cellStyle name="Normal 18" xfId="275"/>
    <cellStyle name="Normal 19" xfId="276"/>
    <cellStyle name="Normal 19 2" xfId="277"/>
    <cellStyle name="Normal 2" xfId="278"/>
    <cellStyle name="Normal 2 2" xfId="2"/>
    <cellStyle name="Normal 2 2 2" xfId="279"/>
    <cellStyle name="Normal 2 3" xfId="280"/>
    <cellStyle name="Normal 2 3 2" xfId="281"/>
    <cellStyle name="Normal 2 4" xfId="282"/>
    <cellStyle name="Normal 2 5" xfId="283"/>
    <cellStyle name="Normal 2_Inf Gestion 2008 - Plan Acción 2009 V1" xfId="284"/>
    <cellStyle name="Normal 20" xfId="285"/>
    <cellStyle name="Normal 21" xfId="286"/>
    <cellStyle name="Normal 22" xfId="287"/>
    <cellStyle name="Normal 23" xfId="288"/>
    <cellStyle name="Normal 24" xfId="289"/>
    <cellStyle name="Normal 25" xfId="290"/>
    <cellStyle name="Normal 26" xfId="291"/>
    <cellStyle name="Normal 27" xfId="292"/>
    <cellStyle name="Normal 27 2" xfId="293"/>
    <cellStyle name="Normal 28" xfId="294"/>
    <cellStyle name="Normal 29" xfId="295"/>
    <cellStyle name="Normal 3" xfId="1"/>
    <cellStyle name="Normal 3 10" xfId="296"/>
    <cellStyle name="Normal 3 11" xfId="297"/>
    <cellStyle name="Normal 3 12" xfId="298"/>
    <cellStyle name="Normal 3 13" xfId="299"/>
    <cellStyle name="Normal 3 14" xfId="300"/>
    <cellStyle name="Normal 3 15" xfId="301"/>
    <cellStyle name="Normal 3 16" xfId="302"/>
    <cellStyle name="Normal 3 17" xfId="303"/>
    <cellStyle name="Normal 3 18" xfId="304"/>
    <cellStyle name="Normal 3 2" xfId="305"/>
    <cellStyle name="Normal 3 3" xfId="306"/>
    <cellStyle name="Normal 3 4" xfId="307"/>
    <cellStyle name="Normal 3 5" xfId="308"/>
    <cellStyle name="Normal 3 6" xfId="309"/>
    <cellStyle name="Normal 3 7" xfId="310"/>
    <cellStyle name="Normal 3 8" xfId="311"/>
    <cellStyle name="Normal 3 9" xfId="312"/>
    <cellStyle name="Normal 3_Seguimiento ppto 2009" xfId="313"/>
    <cellStyle name="Normal 30" xfId="314"/>
    <cellStyle name="Normal 31" xfId="315"/>
    <cellStyle name="Normal 32" xfId="316"/>
    <cellStyle name="Normal 33" xfId="317"/>
    <cellStyle name="Normal 34" xfId="318"/>
    <cellStyle name="Normal 35" xfId="319"/>
    <cellStyle name="Normal 36" xfId="320"/>
    <cellStyle name="Normal 37" xfId="321"/>
    <cellStyle name="Normal 4" xfId="322"/>
    <cellStyle name="Normal 4 10" xfId="323"/>
    <cellStyle name="Normal 4 11" xfId="324"/>
    <cellStyle name="Normal 4 12" xfId="325"/>
    <cellStyle name="Normal 4 13" xfId="326"/>
    <cellStyle name="Normal 4 14" xfId="327"/>
    <cellStyle name="Normal 4 15" xfId="328"/>
    <cellStyle name="Normal 4 16" xfId="329"/>
    <cellStyle name="Normal 4 17" xfId="330"/>
    <cellStyle name="Normal 4 2" xfId="331"/>
    <cellStyle name="Normal 4 2 2" xfId="332"/>
    <cellStyle name="Normal 4 2 3" xfId="333"/>
    <cellStyle name="Normal 4 3" xfId="334"/>
    <cellStyle name="Normal 4 3 2" xfId="335"/>
    <cellStyle name="Normal 4 4" xfId="336"/>
    <cellStyle name="Normal 4 5" xfId="337"/>
    <cellStyle name="Normal 4 6" xfId="338"/>
    <cellStyle name="Normal 4 7" xfId="339"/>
    <cellStyle name="Normal 4 8" xfId="340"/>
    <cellStyle name="Normal 4 9" xfId="341"/>
    <cellStyle name="Normal 4_Inf Gestion 2008 - Plan Acción 2009 V1" xfId="342"/>
    <cellStyle name="Normal 40" xfId="343"/>
    <cellStyle name="Normal 42" xfId="344"/>
    <cellStyle name="Normal 43" xfId="345"/>
    <cellStyle name="Normal 44" xfId="346"/>
    <cellStyle name="Normal 45" xfId="347"/>
    <cellStyle name="Normal 5" xfId="348"/>
    <cellStyle name="Normal 5 10" xfId="349"/>
    <cellStyle name="Normal 5 11" xfId="350"/>
    <cellStyle name="Normal 5 12" xfId="351"/>
    <cellStyle name="Normal 5 13" xfId="352"/>
    <cellStyle name="Normal 5 14" xfId="353"/>
    <cellStyle name="Normal 5 15" xfId="354"/>
    <cellStyle name="Normal 5 16" xfId="355"/>
    <cellStyle name="Normal 5 2" xfId="356"/>
    <cellStyle name="Normal 5 3" xfId="357"/>
    <cellStyle name="Normal 5 4" xfId="358"/>
    <cellStyle name="Normal 5 5" xfId="359"/>
    <cellStyle name="Normal 5 6" xfId="360"/>
    <cellStyle name="Normal 5 7" xfId="361"/>
    <cellStyle name="Normal 5 8" xfId="362"/>
    <cellStyle name="Normal 5 9" xfId="363"/>
    <cellStyle name="Normal 5_Seguimiento ppto 2009" xfId="364"/>
    <cellStyle name="Normal 50" xfId="365"/>
    <cellStyle name="Normal 51" xfId="366"/>
    <cellStyle name="Normal 6" xfId="367"/>
    <cellStyle name="Normal 6 10" xfId="368"/>
    <cellStyle name="Normal 6 11" xfId="369"/>
    <cellStyle name="Normal 6 12" xfId="370"/>
    <cellStyle name="Normal 6 13" xfId="371"/>
    <cellStyle name="Normal 6 14" xfId="372"/>
    <cellStyle name="Normal 6 15" xfId="373"/>
    <cellStyle name="Normal 6 2" xfId="374"/>
    <cellStyle name="Normal 6 3" xfId="375"/>
    <cellStyle name="Normal 6 4" xfId="376"/>
    <cellStyle name="Normal 6 5" xfId="377"/>
    <cellStyle name="Normal 6 6" xfId="378"/>
    <cellStyle name="Normal 6 7" xfId="379"/>
    <cellStyle name="Normal 6 8" xfId="380"/>
    <cellStyle name="Normal 6 9" xfId="381"/>
    <cellStyle name="Normal 6_Seguimiento ppto 2009" xfId="382"/>
    <cellStyle name="Normal 7" xfId="383"/>
    <cellStyle name="Normal 7 10" xfId="384"/>
    <cellStyle name="Normal 7 11" xfId="385"/>
    <cellStyle name="Normal 7 12" xfId="386"/>
    <cellStyle name="Normal 7 13" xfId="387"/>
    <cellStyle name="Normal 7 14" xfId="388"/>
    <cellStyle name="Normal 7 15" xfId="389"/>
    <cellStyle name="Normal 7 2" xfId="390"/>
    <cellStyle name="Normal 7 3" xfId="391"/>
    <cellStyle name="Normal 7 4" xfId="392"/>
    <cellStyle name="Normal 7 5" xfId="393"/>
    <cellStyle name="Normal 7 6" xfId="394"/>
    <cellStyle name="Normal 7 7" xfId="395"/>
    <cellStyle name="Normal 7 8" xfId="396"/>
    <cellStyle name="Normal 7 9" xfId="397"/>
    <cellStyle name="Normal 7_Seguimiento ppto 2009" xfId="398"/>
    <cellStyle name="Normal 70" xfId="399"/>
    <cellStyle name="Normal 72" xfId="400"/>
    <cellStyle name="Normal 73" xfId="401"/>
    <cellStyle name="Normal 8" xfId="402"/>
    <cellStyle name="Normal 8 10" xfId="403"/>
    <cellStyle name="Normal 8 11" xfId="404"/>
    <cellStyle name="Normal 8 12" xfId="405"/>
    <cellStyle name="Normal 8 13" xfId="406"/>
    <cellStyle name="Normal 8 2" xfId="407"/>
    <cellStyle name="Normal 8 3" xfId="408"/>
    <cellStyle name="Normal 8 4" xfId="409"/>
    <cellStyle name="Normal 8 5" xfId="410"/>
    <cellStyle name="Normal 8 6" xfId="411"/>
    <cellStyle name="Normal 8 7" xfId="412"/>
    <cellStyle name="Normal 8 8" xfId="413"/>
    <cellStyle name="Normal 8 9" xfId="414"/>
    <cellStyle name="Normal 8_Seguimiento ppto 2009" xfId="415"/>
    <cellStyle name="Normal 9" xfId="416"/>
    <cellStyle name="Normal 9 10" xfId="417"/>
    <cellStyle name="Normal 9 11" xfId="418"/>
    <cellStyle name="Normal 9 12" xfId="419"/>
    <cellStyle name="Normal 9 2" xfId="420"/>
    <cellStyle name="Normal 9 3" xfId="421"/>
    <cellStyle name="Normal 9 4" xfId="422"/>
    <cellStyle name="Normal 9 5" xfId="423"/>
    <cellStyle name="Normal 9 6" xfId="424"/>
    <cellStyle name="Normal 9 7" xfId="425"/>
    <cellStyle name="Normal 9 8" xfId="426"/>
    <cellStyle name="Normal 9 9" xfId="427"/>
    <cellStyle name="Normal 9_Seguimiento ppto 2009" xfId="428"/>
    <cellStyle name="Notas 2" xfId="429"/>
    <cellStyle name="Porcentual" xfId="3" builtinId="5"/>
    <cellStyle name="Porcentual 2" xfId="430"/>
    <cellStyle name="Porcentual 2 2" xfId="431"/>
    <cellStyle name="Porcentual 2 2 2" xfId="432"/>
    <cellStyle name="Porcentual 2 2 2 2" xfId="433"/>
    <cellStyle name="Porcentual 2 2 3" xfId="434"/>
    <cellStyle name="Porcentual 2 2 3 2" xfId="435"/>
    <cellStyle name="Porcentual 2 2 4" xfId="436"/>
    <cellStyle name="Porcentual 2 2 5" xfId="437"/>
    <cellStyle name="Porcentual 2 3" xfId="438"/>
    <cellStyle name="Porcentual 2 3 2" xfId="439"/>
    <cellStyle name="Porcentual 2 4" xfId="440"/>
    <cellStyle name="Porcentual 3" xfId="441"/>
    <cellStyle name="Porcentual 3 2" xfId="442"/>
    <cellStyle name="Porcentual 3 3" xfId="443"/>
    <cellStyle name="Porcentual 4" xfId="444"/>
    <cellStyle name="Porcentual 4 2" xfId="445"/>
    <cellStyle name="Porcentual 5" xfId="446"/>
    <cellStyle name="Porcentual 6" xfId="447"/>
    <cellStyle name="Porcentual 7" xfId="448"/>
    <cellStyle name="Porcentual 8" xfId="449"/>
    <cellStyle name="Porcentual 9" xfId="450"/>
  </cellStyles>
  <dxfs count="0"/>
  <tableStyles count="0" defaultTableStyle="TableStyleMedium9" defaultPivotStyle="PivotStyleLight16"/>
  <colors>
    <mruColors>
      <color rgb="FF0DC31E"/>
    </mruColors>
  </colors>
  <extLst>
    <ext xmlns:x14="http://schemas.microsoft.com/office/spreadsheetml/2009/9/main" uri="{EB79DEF2-80B8-43e5-95BD-54CBDDF9020C}">
      <x14:slicerStyles defaultSlicerStyl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theme/theme1.xml" Type="http://schemas.openxmlformats.org/officeDocument/2006/relationships/theme"/>
<Relationship Id="rId13" Target="styles.xml" Type="http://schemas.openxmlformats.org/officeDocument/2006/relationships/styles"/>
<Relationship Id="rId14" Target="sharedStrings.xml" Type="http://schemas.openxmlformats.org/officeDocument/2006/relationships/sharedStrings"/>
<Relationship Id="rId15"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png" Type="http://schemas.openxmlformats.org/officeDocument/2006/relationships/image"/>
</Relationships>

</file>

<file path=xl/drawings/_rels/drawing2.xml.rels><?xml version="1.0" encoding="UTF-8" standalone="no"?>
<Relationships xmlns="http://schemas.openxmlformats.org/package/2006/relationships">
<Relationship Id="rId1" Target="../media/image1.png" Type="http://schemas.openxmlformats.org/officeDocument/2006/relationships/image"/>
</Relationships>

</file>

<file path=xl/drawings/_rels/drawing3.xml.rels><?xml version="1.0" encoding="UTF-8" standalone="no"?>
<Relationships xmlns="http://schemas.openxmlformats.org/package/2006/relationships">
<Relationship Id="rId1" Target="../media/image1.png"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xdr:from>
      <xdr:col>0</xdr:col>
      <xdr:colOff>219074</xdr:colOff>
      <xdr:row>0</xdr:row>
      <xdr:rowOff>104775</xdr:rowOff>
    </xdr:from>
    <xdr:to>
      <xdr:col>1</xdr:col>
      <xdr:colOff>1207104</xdr:colOff>
      <xdr:row>3</xdr:row>
      <xdr:rowOff>85725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4" y="104775"/>
          <a:ext cx="1308070" cy="666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219074</xdr:colOff>
      <xdr:row>0</xdr:row>
      <xdr:rowOff>104775</xdr:rowOff>
    </xdr:from>
    <xdr:to>
      <xdr:col>1</xdr:col>
      <xdr:colOff>1207104</xdr:colOff>
      <xdr:row>3</xdr:row>
      <xdr:rowOff>85725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4" y="104775"/>
          <a:ext cx="1308070" cy="6667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219074</xdr:colOff>
      <xdr:row>0</xdr:row>
      <xdr:rowOff>104775</xdr:rowOff>
    </xdr:from>
    <xdr:to>
      <xdr:col>1</xdr:col>
      <xdr:colOff>1207104</xdr:colOff>
      <xdr:row>3</xdr:row>
      <xdr:rowOff>85725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4" y="104775"/>
          <a:ext cx="1302355" cy="695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vmlDrawing1.vml" Type="http://schemas.openxmlformats.org/officeDocument/2006/relationships/vmlDrawing"/>
<Relationship Id="rId3" Target="../comments1.xml" Type="http://schemas.openxmlformats.org/officeDocument/2006/relationships/comments"/>
</Relationships>

</file>

<file path=xl/worksheets/_rels/sheet11.xml.rels><?xml version="1.0" encoding="UTF-8" standalone="no"?>
<Relationships xmlns="http://schemas.openxmlformats.org/package/2006/relationships">
<Relationship Id="rId1" Target="../drawings/vmlDrawing8.vml" Type="http://schemas.openxmlformats.org/officeDocument/2006/relationships/vmlDrawing"/>
<Relationship Id="rId2" Target="../comments8.xml" Type="http://schemas.openxmlformats.org/officeDocument/2006/relationships/comment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 Id="rId2" Target="../drawings/vmlDrawing2.vml" Type="http://schemas.openxmlformats.org/officeDocument/2006/relationships/vmlDrawing"/>
<Relationship Id="rId3" Target="../comments2.xml" Type="http://schemas.openxmlformats.org/officeDocument/2006/relationships/comments"/>
</Relationships>

</file>

<file path=xl/worksheets/_rels/sheet4.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5.bin" Type="http://schemas.openxmlformats.org/officeDocument/2006/relationships/printerSettings"/>
<Relationship Id="rId2" Target="../drawings/drawing1.xml" Type="http://schemas.openxmlformats.org/officeDocument/2006/relationships/drawing"/>
<Relationship Id="rId3" Target="../drawings/vmlDrawing3.vml" Type="http://schemas.openxmlformats.org/officeDocument/2006/relationships/vmlDrawing"/>
<Relationship Id="rId4" Target="../comments3.xml" Type="http://schemas.openxmlformats.org/officeDocument/2006/relationships/comments"/>
</Relationships>

</file>

<file path=xl/worksheets/_rels/sheet6.xml.rels><?xml version="1.0" encoding="UTF-8" standalone="no"?>
<Relationships xmlns="http://schemas.openxmlformats.org/package/2006/relationships">
<Relationship Id="rId1" Target="../printerSettings/printerSettings6.bin" Type="http://schemas.openxmlformats.org/officeDocument/2006/relationships/printerSettings"/>
<Relationship Id="rId2" Target="../drawings/drawing2.xml" Type="http://schemas.openxmlformats.org/officeDocument/2006/relationships/drawing"/>
<Relationship Id="rId3" Target="../drawings/vmlDrawing4.vml" Type="http://schemas.openxmlformats.org/officeDocument/2006/relationships/vmlDrawing"/>
<Relationship Id="rId4" Target="../comments4.xml" Type="http://schemas.openxmlformats.org/officeDocument/2006/relationships/comments"/>
</Relationships>

</file>

<file path=xl/worksheets/_rels/sheet7.xml.rels><?xml version="1.0" encoding="UTF-8" standalone="no"?>
<Relationships xmlns="http://schemas.openxmlformats.org/package/2006/relationships">
<Relationship Id="rId1" Target="../printerSettings/printerSettings7.bin" Type="http://schemas.openxmlformats.org/officeDocument/2006/relationships/printerSettings"/>
<Relationship Id="rId2" Target="../drawings/vmlDrawing5.vml" Type="http://schemas.openxmlformats.org/officeDocument/2006/relationships/vmlDrawing"/>
<Relationship Id="rId3" Target="../comments5.xml" Type="http://schemas.openxmlformats.org/officeDocument/2006/relationships/comments"/>
</Relationships>

</file>

<file path=xl/worksheets/_rels/sheet8.xml.rels><?xml version="1.0" encoding="UTF-8" standalone="no"?>
<Relationships xmlns="http://schemas.openxmlformats.org/package/2006/relationships">
<Relationship Id="rId1" Target="../printerSettings/printerSettings8.bin" Type="http://schemas.openxmlformats.org/officeDocument/2006/relationships/printerSettings"/>
<Relationship Id="rId2" Target="../drawings/drawing3.xml" Type="http://schemas.openxmlformats.org/officeDocument/2006/relationships/drawing"/>
<Relationship Id="rId3" Target="../drawings/vmlDrawing6.vml" Type="http://schemas.openxmlformats.org/officeDocument/2006/relationships/vmlDrawing"/>
<Relationship Id="rId4" Target="../comments6.xml" Type="http://schemas.openxmlformats.org/officeDocument/2006/relationships/comments"/>
</Relationships>

</file>

<file path=xl/worksheets/_rels/sheet9.xml.rels><?xml version="1.0" encoding="UTF-8" standalone="no"?>
<Relationships xmlns="http://schemas.openxmlformats.org/package/2006/relationships">
<Relationship Id="rId1" Target="../drawings/vmlDrawing7.vml" Type="http://schemas.openxmlformats.org/officeDocument/2006/relationships/vmlDrawing"/>
<Relationship Id="rId2" Target="../comments7.xml" Type="http://schemas.openxmlformats.org/officeDocument/2006/relationships/comments"/>
</Relationships>

</file>

<file path=xl/worksheets/sheet1.xml><?xml version="1.0" encoding="utf-8"?>
<worksheet xmlns="http://schemas.openxmlformats.org/spreadsheetml/2006/main" xmlns:r="http://schemas.openxmlformats.org/officeDocument/2006/relationships">
  <dimension ref="A1:R32"/>
  <sheetViews>
    <sheetView showGridLines="0" zoomScale="90" zoomScaleNormal="90" workbookViewId="0">
      <pane ySplit="6" topLeftCell="A7" activePane="bottomLeft" state="frozen"/>
      <selection pane="bottomLeft" activeCell="E8" sqref="E8"/>
    </sheetView>
  </sheetViews>
  <sheetFormatPr baseColWidth="10" defaultRowHeight="12.75"/>
  <cols>
    <col min="1" max="1" width="5.7109375" style="174" customWidth="1"/>
    <col min="2" max="2" width="39.7109375" style="174" customWidth="1"/>
    <col min="3" max="4" width="11.42578125" style="174"/>
    <col min="5" max="5" width="37" style="363" customWidth="1"/>
    <col min="6" max="6" width="11.28515625" style="174" customWidth="1"/>
    <col min="7" max="8" width="11.42578125" style="174"/>
    <col min="9" max="9" width="15.7109375" style="174" customWidth="1"/>
    <col min="10" max="10" width="15.5703125" style="174" customWidth="1"/>
    <col min="11" max="11" width="16.28515625" style="174" customWidth="1"/>
    <col min="12" max="13" width="11.42578125" style="174"/>
    <col min="14" max="14" width="12.140625" style="174" customWidth="1"/>
    <col min="15" max="16" width="11.42578125" style="174"/>
    <col min="17" max="17" width="42.85546875" style="174" customWidth="1"/>
    <col min="18" max="16384" width="11.42578125" style="174"/>
  </cols>
  <sheetData>
    <row r="1" spans="1:18">
      <c r="A1" s="419" t="s">
        <v>0</v>
      </c>
      <c r="B1" s="420"/>
      <c r="C1" s="420"/>
      <c r="D1" s="420"/>
      <c r="E1" s="420"/>
      <c r="F1" s="420"/>
      <c r="G1" s="420"/>
      <c r="H1" s="420"/>
      <c r="I1" s="420"/>
      <c r="J1" s="420"/>
      <c r="K1" s="420"/>
      <c r="L1" s="420"/>
      <c r="M1" s="420"/>
      <c r="N1" s="420"/>
      <c r="O1" s="420"/>
      <c r="P1" s="420"/>
      <c r="Q1" s="420"/>
      <c r="R1" s="296" t="s">
        <v>14</v>
      </c>
    </row>
    <row r="2" spans="1:18">
      <c r="A2" s="419" t="s">
        <v>639</v>
      </c>
      <c r="B2" s="420"/>
      <c r="C2" s="420"/>
      <c r="D2" s="420"/>
      <c r="E2" s="420"/>
      <c r="F2" s="420"/>
      <c r="G2" s="420"/>
      <c r="H2" s="420"/>
      <c r="I2" s="420"/>
      <c r="J2" s="420"/>
      <c r="K2" s="420"/>
      <c r="L2" s="420"/>
      <c r="M2" s="420"/>
      <c r="N2" s="420"/>
      <c r="O2" s="420"/>
      <c r="P2" s="420"/>
      <c r="Q2" s="420"/>
      <c r="R2" s="296" t="s">
        <v>15</v>
      </c>
    </row>
    <row r="3" spans="1:18">
      <c r="A3" s="421" t="s">
        <v>25</v>
      </c>
      <c r="B3" s="420"/>
      <c r="C3" s="420"/>
      <c r="D3" s="420"/>
      <c r="E3" s="420"/>
      <c r="F3" s="420"/>
      <c r="G3" s="420"/>
      <c r="H3" s="420"/>
      <c r="I3" s="420"/>
      <c r="J3" s="420"/>
      <c r="K3" s="420"/>
      <c r="L3" s="420"/>
      <c r="M3" s="420"/>
      <c r="N3" s="420"/>
      <c r="O3" s="420"/>
      <c r="P3" s="420"/>
      <c r="Q3" s="420"/>
      <c r="R3" s="296" t="s">
        <v>160</v>
      </c>
    </row>
    <row r="4" spans="1:18" ht="13.5" thickBot="1">
      <c r="A4" s="297"/>
      <c r="B4" s="298"/>
      <c r="C4" s="298"/>
      <c r="D4" s="298"/>
      <c r="E4" s="299"/>
      <c r="F4" s="298"/>
      <c r="G4" s="298"/>
      <c r="H4" s="298"/>
      <c r="I4" s="298"/>
      <c r="J4" s="298"/>
      <c r="K4" s="298"/>
      <c r="L4" s="298"/>
      <c r="M4" s="298"/>
      <c r="N4" s="298"/>
      <c r="O4" s="298"/>
      <c r="P4" s="298"/>
      <c r="Q4" s="298"/>
    </row>
    <row r="5" spans="1:18" ht="31.5" customHeight="1" thickTop="1" thickBot="1">
      <c r="A5" s="411" t="s">
        <v>1</v>
      </c>
      <c r="B5" s="411" t="s">
        <v>2</v>
      </c>
      <c r="C5" s="409" t="s">
        <v>3</v>
      </c>
      <c r="D5" s="409" t="s">
        <v>19</v>
      </c>
      <c r="E5" s="409" t="s">
        <v>4</v>
      </c>
      <c r="F5" s="409" t="s">
        <v>5</v>
      </c>
      <c r="G5" s="422" t="s">
        <v>17</v>
      </c>
      <c r="H5" s="423"/>
      <c r="I5" s="409" t="s">
        <v>6</v>
      </c>
      <c r="J5" s="411" t="s">
        <v>7</v>
      </c>
      <c r="K5" s="413" t="s">
        <v>8</v>
      </c>
      <c r="L5" s="413"/>
      <c r="M5" s="413"/>
      <c r="N5" s="413" t="s">
        <v>9</v>
      </c>
      <c r="O5" s="414"/>
      <c r="P5" s="414"/>
      <c r="Q5" s="415" t="s">
        <v>161</v>
      </c>
    </row>
    <row r="6" spans="1:18" ht="49.5" customHeight="1" thickTop="1" thickBot="1">
      <c r="A6" s="412"/>
      <c r="B6" s="412"/>
      <c r="C6" s="410"/>
      <c r="D6" s="410"/>
      <c r="E6" s="410"/>
      <c r="F6" s="410"/>
      <c r="G6" s="173" t="s">
        <v>16</v>
      </c>
      <c r="H6" s="173" t="s">
        <v>18</v>
      </c>
      <c r="I6" s="410"/>
      <c r="J6" s="412"/>
      <c r="K6" s="171" t="s">
        <v>10</v>
      </c>
      <c r="L6" s="171" t="s">
        <v>24</v>
      </c>
      <c r="M6" s="171" t="s">
        <v>11</v>
      </c>
      <c r="N6" s="171" t="s">
        <v>12</v>
      </c>
      <c r="O6" s="171" t="s">
        <v>24</v>
      </c>
      <c r="P6" s="171" t="s">
        <v>13</v>
      </c>
      <c r="Q6" s="416"/>
    </row>
    <row r="7" spans="1:18" ht="102.75" thickTop="1">
      <c r="A7" s="300">
        <v>1</v>
      </c>
      <c r="B7" s="301" t="s">
        <v>640</v>
      </c>
      <c r="C7" s="302" t="s">
        <v>15</v>
      </c>
      <c r="D7" s="303">
        <v>1010</v>
      </c>
      <c r="E7" s="304" t="s">
        <v>641</v>
      </c>
      <c r="F7" s="302" t="s">
        <v>642</v>
      </c>
      <c r="G7" s="305">
        <v>40909</v>
      </c>
      <c r="H7" s="305">
        <v>41274</v>
      </c>
      <c r="I7" s="306">
        <v>5010</v>
      </c>
      <c r="J7" s="302" t="s">
        <v>643</v>
      </c>
      <c r="K7" s="307" t="s">
        <v>644</v>
      </c>
      <c r="L7" s="307"/>
      <c r="M7" s="308"/>
      <c r="N7" s="309">
        <f>1010000/1000</f>
        <v>1010</v>
      </c>
      <c r="O7" s="310"/>
      <c r="P7" s="308"/>
      <c r="Q7" s="240"/>
      <c r="R7" s="311"/>
    </row>
    <row r="8" spans="1:18" ht="136.5" customHeight="1">
      <c r="A8" s="417">
        <v>2</v>
      </c>
      <c r="B8" s="391" t="s">
        <v>645</v>
      </c>
      <c r="C8" s="380" t="s">
        <v>15</v>
      </c>
      <c r="D8" s="418">
        <v>1090</v>
      </c>
      <c r="E8" s="313" t="s">
        <v>646</v>
      </c>
      <c r="F8" s="329" t="s">
        <v>647</v>
      </c>
      <c r="G8" s="314">
        <v>40660</v>
      </c>
      <c r="H8" s="314">
        <v>41756</v>
      </c>
      <c r="I8" s="315">
        <v>9045</v>
      </c>
      <c r="J8" s="329" t="s">
        <v>648</v>
      </c>
      <c r="K8" s="329" t="s">
        <v>649</v>
      </c>
      <c r="L8" s="287"/>
      <c r="M8" s="316"/>
      <c r="N8" s="317">
        <v>289</v>
      </c>
      <c r="O8" s="318"/>
      <c r="P8" s="318"/>
      <c r="Q8" s="319"/>
      <c r="R8" s="311"/>
    </row>
    <row r="9" spans="1:18" ht="56.25" customHeight="1">
      <c r="A9" s="417"/>
      <c r="B9" s="391"/>
      <c r="C9" s="380"/>
      <c r="D9" s="418"/>
      <c r="E9" s="313" t="s">
        <v>650</v>
      </c>
      <c r="F9" s="329" t="s">
        <v>651</v>
      </c>
      <c r="G9" s="314">
        <v>40909</v>
      </c>
      <c r="H9" s="314">
        <v>42005</v>
      </c>
      <c r="I9" s="315">
        <v>9055</v>
      </c>
      <c r="J9" s="329" t="s">
        <v>652</v>
      </c>
      <c r="K9" s="329" t="s">
        <v>653</v>
      </c>
      <c r="L9" s="287"/>
      <c r="M9" s="316"/>
      <c r="N9" s="317">
        <v>4</v>
      </c>
      <c r="O9" s="318"/>
      <c r="P9" s="318"/>
      <c r="Q9" s="319"/>
      <c r="R9" s="311"/>
    </row>
    <row r="10" spans="1:18" ht="38.25">
      <c r="A10" s="417"/>
      <c r="B10" s="391"/>
      <c r="C10" s="380"/>
      <c r="D10" s="418"/>
      <c r="E10" s="313" t="s">
        <v>654</v>
      </c>
      <c r="F10" s="329" t="s">
        <v>655</v>
      </c>
      <c r="G10" s="314">
        <v>40151</v>
      </c>
      <c r="H10" s="314">
        <v>41246</v>
      </c>
      <c r="I10" s="315">
        <v>9045</v>
      </c>
      <c r="J10" s="329" t="s">
        <v>648</v>
      </c>
      <c r="K10" s="329" t="s">
        <v>656</v>
      </c>
      <c r="L10" s="287"/>
      <c r="M10" s="316"/>
      <c r="N10" s="317">
        <v>7</v>
      </c>
      <c r="O10" s="318"/>
      <c r="P10" s="318"/>
      <c r="Q10" s="319"/>
      <c r="R10" s="311"/>
    </row>
    <row r="11" spans="1:18" ht="89.25">
      <c r="A11" s="417"/>
      <c r="B11" s="391"/>
      <c r="C11" s="380"/>
      <c r="D11" s="418"/>
      <c r="E11" s="320" t="s">
        <v>657</v>
      </c>
      <c r="F11" s="315" t="s">
        <v>594</v>
      </c>
      <c r="G11" s="321">
        <v>40528</v>
      </c>
      <c r="H11" s="321">
        <v>41623</v>
      </c>
      <c r="I11" s="315">
        <v>9055</v>
      </c>
      <c r="J11" s="329" t="s">
        <v>658</v>
      </c>
      <c r="K11" s="329" t="s">
        <v>659</v>
      </c>
      <c r="L11" s="287"/>
      <c r="M11" s="316"/>
      <c r="N11" s="317">
        <v>286</v>
      </c>
      <c r="O11" s="318"/>
      <c r="P11" s="318"/>
      <c r="Q11" s="319"/>
      <c r="R11" s="311"/>
    </row>
    <row r="12" spans="1:18" ht="25.5">
      <c r="A12" s="417"/>
      <c r="B12" s="391"/>
      <c r="C12" s="380"/>
      <c r="D12" s="418"/>
      <c r="E12" s="313" t="s">
        <v>660</v>
      </c>
      <c r="F12" s="329" t="s">
        <v>661</v>
      </c>
      <c r="G12" s="314">
        <v>40574</v>
      </c>
      <c r="H12" s="314">
        <v>41274</v>
      </c>
      <c r="I12" s="315">
        <v>9035</v>
      </c>
      <c r="J12" s="329" t="s">
        <v>662</v>
      </c>
      <c r="K12" s="329" t="s">
        <v>663</v>
      </c>
      <c r="L12" s="287"/>
      <c r="M12" s="316"/>
      <c r="N12" s="317">
        <v>14</v>
      </c>
      <c r="O12" s="318"/>
      <c r="P12" s="318"/>
      <c r="Q12" s="319"/>
      <c r="R12" s="311"/>
    </row>
    <row r="13" spans="1:18" ht="76.5">
      <c r="A13" s="417"/>
      <c r="B13" s="391"/>
      <c r="C13" s="380"/>
      <c r="D13" s="418"/>
      <c r="E13" s="313" t="s">
        <v>664</v>
      </c>
      <c r="F13" s="312"/>
      <c r="G13" s="322"/>
      <c r="H13" s="322"/>
      <c r="I13" s="243">
        <v>9045</v>
      </c>
      <c r="J13" s="329" t="s">
        <v>665</v>
      </c>
      <c r="K13" s="329" t="s">
        <v>666</v>
      </c>
      <c r="L13" s="323"/>
      <c r="M13" s="323"/>
      <c r="N13" s="324">
        <v>100</v>
      </c>
      <c r="O13" s="323"/>
      <c r="P13" s="323"/>
      <c r="Q13" s="319"/>
      <c r="R13" s="311"/>
    </row>
    <row r="14" spans="1:18" ht="51">
      <c r="A14" s="417"/>
      <c r="B14" s="391"/>
      <c r="C14" s="380"/>
      <c r="D14" s="418"/>
      <c r="E14" s="313" t="s">
        <v>650</v>
      </c>
      <c r="F14" s="329" t="s">
        <v>651</v>
      </c>
      <c r="G14" s="314">
        <v>40909</v>
      </c>
      <c r="H14" s="314">
        <v>42005</v>
      </c>
      <c r="I14" s="315">
        <v>9055</v>
      </c>
      <c r="J14" s="329" t="s">
        <v>667</v>
      </c>
      <c r="K14" s="325" t="s">
        <v>668</v>
      </c>
      <c r="L14" s="280"/>
      <c r="M14" s="326"/>
      <c r="N14" s="327">
        <v>72</v>
      </c>
      <c r="O14" s="326"/>
      <c r="P14" s="326"/>
      <c r="Q14" s="328" t="s">
        <v>669</v>
      </c>
      <c r="R14" s="311"/>
    </row>
    <row r="15" spans="1:18" ht="38.25">
      <c r="A15" s="386">
        <v>3</v>
      </c>
      <c r="B15" s="395" t="s">
        <v>670</v>
      </c>
      <c r="C15" s="396" t="s">
        <v>44</v>
      </c>
      <c r="D15" s="397">
        <v>5136</v>
      </c>
      <c r="E15" s="330" t="s">
        <v>672</v>
      </c>
      <c r="F15" s="315" t="s">
        <v>673</v>
      </c>
      <c r="G15" s="321">
        <v>40698</v>
      </c>
      <c r="H15" s="321">
        <v>41247</v>
      </c>
      <c r="I15" s="315">
        <v>9055</v>
      </c>
      <c r="J15" s="329" t="s">
        <v>665</v>
      </c>
      <c r="K15" s="331">
        <v>1</v>
      </c>
      <c r="L15" s="332"/>
      <c r="M15" s="333"/>
      <c r="N15" s="317">
        <v>16.57</v>
      </c>
      <c r="O15" s="334"/>
      <c r="P15" s="333"/>
      <c r="Q15" s="335"/>
    </row>
    <row r="16" spans="1:18" ht="25.5">
      <c r="A16" s="386"/>
      <c r="B16" s="395"/>
      <c r="C16" s="396"/>
      <c r="D16" s="397"/>
      <c r="E16" s="330" t="s">
        <v>674</v>
      </c>
      <c r="F16" s="315" t="s">
        <v>594</v>
      </c>
      <c r="G16" s="321">
        <v>40528</v>
      </c>
      <c r="H16" s="321">
        <v>41623</v>
      </c>
      <c r="I16" s="315">
        <v>9055</v>
      </c>
      <c r="J16" s="329" t="s">
        <v>675</v>
      </c>
      <c r="K16" s="336">
        <v>1000</v>
      </c>
      <c r="L16" s="287"/>
      <c r="M16" s="333"/>
      <c r="N16" s="317">
        <v>663.18</v>
      </c>
      <c r="O16" s="318"/>
      <c r="P16" s="333"/>
      <c r="Q16" s="337"/>
    </row>
    <row r="17" spans="1:17" ht="25.5">
      <c r="A17" s="386"/>
      <c r="B17" s="395"/>
      <c r="C17" s="396"/>
      <c r="D17" s="397"/>
      <c r="E17" s="330" t="s">
        <v>676</v>
      </c>
      <c r="F17" s="338" t="s">
        <v>677</v>
      </c>
      <c r="G17" s="321">
        <v>40868</v>
      </c>
      <c r="H17" s="321">
        <v>41964</v>
      </c>
      <c r="I17" s="315">
        <v>9055</v>
      </c>
      <c r="J17" s="329" t="s">
        <v>658</v>
      </c>
      <c r="K17" s="331">
        <v>1500</v>
      </c>
      <c r="L17" s="287"/>
      <c r="M17" s="333"/>
      <c r="N17" s="317">
        <v>20.79</v>
      </c>
      <c r="O17" s="318"/>
      <c r="P17" s="333"/>
      <c r="Q17" s="337"/>
    </row>
    <row r="18" spans="1:17" ht="25.5">
      <c r="A18" s="386"/>
      <c r="B18" s="395"/>
      <c r="C18" s="396"/>
      <c r="D18" s="397"/>
      <c r="E18" s="330" t="s">
        <v>678</v>
      </c>
      <c r="F18" s="339"/>
      <c r="G18" s="321"/>
      <c r="H18" s="321"/>
      <c r="I18" s="315">
        <v>9055</v>
      </c>
      <c r="J18" s="329" t="s">
        <v>679</v>
      </c>
      <c r="K18" s="336">
        <v>500</v>
      </c>
      <c r="L18" s="287"/>
      <c r="M18" s="333"/>
      <c r="N18" s="317">
        <v>242.56</v>
      </c>
      <c r="O18" s="318"/>
      <c r="P18" s="333"/>
      <c r="Q18" s="340"/>
    </row>
    <row r="19" spans="1:17" ht="25.5">
      <c r="A19" s="386"/>
      <c r="B19" s="395"/>
      <c r="C19" s="396"/>
      <c r="D19" s="397"/>
      <c r="E19" s="330" t="s">
        <v>680</v>
      </c>
      <c r="F19" s="315" t="s">
        <v>681</v>
      </c>
      <c r="G19" s="321">
        <v>40784</v>
      </c>
      <c r="H19" s="321" t="s">
        <v>682</v>
      </c>
      <c r="I19" s="315">
        <v>9055</v>
      </c>
      <c r="J19" s="329" t="s">
        <v>665</v>
      </c>
      <c r="K19" s="336">
        <v>1</v>
      </c>
      <c r="L19" s="287"/>
      <c r="M19" s="333"/>
      <c r="N19" s="317">
        <v>1142.79</v>
      </c>
      <c r="O19" s="318"/>
      <c r="P19" s="333"/>
      <c r="Q19" s="337"/>
    </row>
    <row r="20" spans="1:17" ht="38.25">
      <c r="A20" s="341">
        <v>4</v>
      </c>
      <c r="B20" s="342" t="s">
        <v>683</v>
      </c>
      <c r="C20" s="329" t="s">
        <v>15</v>
      </c>
      <c r="D20" s="343">
        <v>590.72</v>
      </c>
      <c r="E20" s="320" t="s">
        <v>684</v>
      </c>
      <c r="F20" s="315"/>
      <c r="G20" s="344"/>
      <c r="H20" s="344"/>
      <c r="I20" s="315">
        <v>9055</v>
      </c>
      <c r="J20" s="329" t="s">
        <v>665</v>
      </c>
      <c r="K20" s="331">
        <v>1</v>
      </c>
      <c r="L20" s="287"/>
      <c r="M20" s="333"/>
      <c r="N20" s="317">
        <v>0.45</v>
      </c>
      <c r="O20" s="318"/>
      <c r="P20" s="333"/>
      <c r="Q20" s="319" t="s">
        <v>685</v>
      </c>
    </row>
    <row r="21" spans="1:17" ht="38.25">
      <c r="A21" s="341">
        <v>5</v>
      </c>
      <c r="B21" s="342" t="s">
        <v>686</v>
      </c>
      <c r="C21" s="329" t="s">
        <v>15</v>
      </c>
      <c r="D21" s="343">
        <f>1883.42*3</f>
        <v>5650.26</v>
      </c>
      <c r="E21" s="320" t="s">
        <v>687</v>
      </c>
      <c r="F21" s="550"/>
      <c r="G21" s="344"/>
      <c r="H21" s="344"/>
      <c r="I21" s="315">
        <v>9055</v>
      </c>
      <c r="J21" s="329" t="s">
        <v>665</v>
      </c>
      <c r="K21" s="331">
        <v>1</v>
      </c>
      <c r="L21" s="287"/>
      <c r="M21" s="333"/>
      <c r="N21" s="317">
        <v>812</v>
      </c>
      <c r="O21" s="318"/>
      <c r="P21" s="333"/>
      <c r="Q21" s="319" t="s">
        <v>688</v>
      </c>
    </row>
    <row r="22" spans="1:17" ht="114.75">
      <c r="A22" s="398">
        <v>6</v>
      </c>
      <c r="B22" s="401" t="s">
        <v>689</v>
      </c>
      <c r="C22" s="404" t="s">
        <v>15</v>
      </c>
      <c r="D22" s="374">
        <v>4179.3</v>
      </c>
      <c r="E22" s="345" t="s">
        <v>690</v>
      </c>
      <c r="F22" s="315" t="s">
        <v>691</v>
      </c>
      <c r="G22" s="346">
        <v>40849</v>
      </c>
      <c r="H22" s="346">
        <v>41215</v>
      </c>
      <c r="I22" s="315">
        <v>9025</v>
      </c>
      <c r="J22" s="347" t="s">
        <v>434</v>
      </c>
      <c r="K22" s="331">
        <v>4</v>
      </c>
      <c r="L22" s="347"/>
      <c r="M22" s="347"/>
      <c r="N22" s="317">
        <v>225.5</v>
      </c>
      <c r="O22" s="347"/>
      <c r="P22" s="347"/>
      <c r="Q22" s="348"/>
    </row>
    <row r="23" spans="1:17" ht="89.25">
      <c r="A23" s="399"/>
      <c r="B23" s="402"/>
      <c r="C23" s="405"/>
      <c r="D23" s="407"/>
      <c r="E23" s="345" t="s">
        <v>692</v>
      </c>
      <c r="F23" s="315" t="s">
        <v>693</v>
      </c>
      <c r="G23" s="346">
        <v>40784</v>
      </c>
      <c r="H23" s="346">
        <v>41150</v>
      </c>
      <c r="I23" s="315">
        <v>9025</v>
      </c>
      <c r="J23" s="347" t="s">
        <v>434</v>
      </c>
      <c r="K23" s="331">
        <v>3</v>
      </c>
      <c r="L23" s="347"/>
      <c r="M23" s="347"/>
      <c r="N23" s="317">
        <v>165.7</v>
      </c>
      <c r="O23" s="347"/>
      <c r="P23" s="347"/>
      <c r="Q23" s="348"/>
    </row>
    <row r="24" spans="1:17" ht="76.5">
      <c r="A24" s="400"/>
      <c r="B24" s="403"/>
      <c r="C24" s="406"/>
      <c r="D24" s="408"/>
      <c r="E24" s="345" t="s">
        <v>694</v>
      </c>
      <c r="F24" s="315" t="s">
        <v>695</v>
      </c>
      <c r="G24" s="346">
        <v>40809</v>
      </c>
      <c r="H24" s="346">
        <v>41174</v>
      </c>
      <c r="I24" s="315">
        <v>9025</v>
      </c>
      <c r="J24" s="347" t="s">
        <v>434</v>
      </c>
      <c r="K24" s="331">
        <v>2</v>
      </c>
      <c r="L24" s="347"/>
      <c r="M24" s="347"/>
      <c r="N24" s="317">
        <v>83.2</v>
      </c>
      <c r="O24" s="347"/>
      <c r="P24" s="347"/>
      <c r="Q24" s="348"/>
    </row>
    <row r="25" spans="1:17" ht="63.75">
      <c r="A25" s="386">
        <v>7</v>
      </c>
      <c r="B25" s="387" t="s">
        <v>696</v>
      </c>
      <c r="C25" s="404" t="s">
        <v>15</v>
      </c>
      <c r="D25" s="349">
        <v>240</v>
      </c>
      <c r="E25" s="359" t="s">
        <v>697</v>
      </c>
      <c r="F25" s="350" t="s">
        <v>698</v>
      </c>
      <c r="G25" s="237">
        <v>40513</v>
      </c>
      <c r="H25" s="237">
        <v>41061</v>
      </c>
      <c r="I25" s="235">
        <v>9045</v>
      </c>
      <c r="J25" s="235" t="s">
        <v>699</v>
      </c>
      <c r="K25" s="243">
        <v>4</v>
      </c>
      <c r="L25" s="235"/>
      <c r="M25" s="235"/>
      <c r="N25" s="349">
        <v>240</v>
      </c>
      <c r="O25" s="235"/>
      <c r="P25" s="235"/>
      <c r="Q25" s="351" t="s">
        <v>700</v>
      </c>
    </row>
    <row r="26" spans="1:17" ht="114.75">
      <c r="A26" s="386"/>
      <c r="B26" s="387"/>
      <c r="C26" s="406"/>
      <c r="D26" s="349">
        <v>325.38799999999998</v>
      </c>
      <c r="E26" s="359" t="s">
        <v>721</v>
      </c>
      <c r="F26" s="177" t="s">
        <v>701</v>
      </c>
      <c r="G26" s="237">
        <v>40894</v>
      </c>
      <c r="H26" s="237">
        <v>41260</v>
      </c>
      <c r="I26" s="235">
        <v>8005</v>
      </c>
      <c r="J26" s="235" t="s">
        <v>702</v>
      </c>
      <c r="K26" s="243">
        <v>10</v>
      </c>
      <c r="L26" s="235"/>
      <c r="M26" s="235"/>
      <c r="N26" s="352">
        <v>325</v>
      </c>
      <c r="O26" s="235"/>
      <c r="P26" s="235"/>
      <c r="Q26" s="351" t="s">
        <v>700</v>
      </c>
    </row>
    <row r="27" spans="1:17" ht="165.75">
      <c r="A27" s="388">
        <v>8</v>
      </c>
      <c r="B27" s="387" t="s">
        <v>703</v>
      </c>
      <c r="C27" s="378" t="s">
        <v>704</v>
      </c>
      <c r="D27" s="349">
        <v>6601.4238483100007</v>
      </c>
      <c r="E27" s="353" t="s">
        <v>705</v>
      </c>
      <c r="F27" s="177" t="s">
        <v>706</v>
      </c>
      <c r="G27" s="237">
        <v>40163</v>
      </c>
      <c r="H27" s="237">
        <v>41274</v>
      </c>
      <c r="I27" s="235">
        <v>9035</v>
      </c>
      <c r="J27" s="235" t="s">
        <v>707</v>
      </c>
      <c r="K27" s="354">
        <v>0.439</v>
      </c>
      <c r="L27" s="235"/>
      <c r="M27" s="235"/>
      <c r="N27" s="349">
        <f>3012149520.13538/1000000</f>
        <v>3012.1495201353796</v>
      </c>
      <c r="O27" s="235"/>
      <c r="P27" s="235"/>
      <c r="Q27" s="355" t="s">
        <v>708</v>
      </c>
    </row>
    <row r="28" spans="1:17" ht="63.75">
      <c r="A28" s="388"/>
      <c r="B28" s="387"/>
      <c r="C28" s="378"/>
      <c r="D28" s="349">
        <v>844.69</v>
      </c>
      <c r="E28" s="353" t="s">
        <v>709</v>
      </c>
      <c r="F28" s="177"/>
      <c r="G28" s="237"/>
      <c r="H28" s="237"/>
      <c r="I28" s="235">
        <v>9035</v>
      </c>
      <c r="J28" s="235" t="s">
        <v>707</v>
      </c>
      <c r="K28" s="354">
        <v>1</v>
      </c>
      <c r="L28" s="235"/>
      <c r="M28" s="235"/>
      <c r="N28" s="349">
        <v>601587.74</v>
      </c>
      <c r="O28" s="235"/>
      <c r="P28" s="235"/>
      <c r="Q28" s="355" t="s">
        <v>710</v>
      </c>
    </row>
    <row r="29" spans="1:17" ht="165.75">
      <c r="A29" s="356">
        <v>9</v>
      </c>
      <c r="B29" s="357" t="s">
        <v>711</v>
      </c>
      <c r="C29" s="358" t="s">
        <v>44</v>
      </c>
      <c r="D29" s="349">
        <v>2545.1021019999998</v>
      </c>
      <c r="E29" s="353" t="s">
        <v>712</v>
      </c>
      <c r="F29" s="177" t="s">
        <v>713</v>
      </c>
      <c r="G29" s="237">
        <v>41030</v>
      </c>
      <c r="H29" s="237">
        <v>42124</v>
      </c>
      <c r="I29" s="235">
        <v>9035</v>
      </c>
      <c r="J29" s="235" t="s">
        <v>714</v>
      </c>
      <c r="K29" s="354">
        <v>0.53</v>
      </c>
      <c r="L29" s="235"/>
      <c r="M29" s="235"/>
      <c r="N29" s="349">
        <v>1362.194</v>
      </c>
      <c r="O29" s="235"/>
      <c r="P29" s="235"/>
      <c r="Q29" s="242"/>
    </row>
    <row r="30" spans="1:17" ht="177.75" customHeight="1">
      <c r="A30" s="389">
        <v>10</v>
      </c>
      <c r="B30" s="391" t="s">
        <v>715</v>
      </c>
      <c r="C30" s="393" t="s">
        <v>160</v>
      </c>
      <c r="D30" s="374">
        <v>11919</v>
      </c>
      <c r="E30" s="376" t="s">
        <v>716</v>
      </c>
      <c r="F30" s="359" t="s">
        <v>717</v>
      </c>
      <c r="G30" s="360">
        <v>40245</v>
      </c>
      <c r="H30" s="360">
        <v>41341</v>
      </c>
      <c r="I30" s="378">
        <v>9035</v>
      </c>
      <c r="J30" s="380" t="s">
        <v>718</v>
      </c>
      <c r="K30" s="382" t="s">
        <v>719</v>
      </c>
      <c r="L30" s="384"/>
      <c r="M30" s="364"/>
      <c r="N30" s="366">
        <v>2876</v>
      </c>
      <c r="O30" s="368"/>
      <c r="P30" s="370"/>
      <c r="Q30" s="372" t="s">
        <v>720</v>
      </c>
    </row>
    <row r="31" spans="1:17" ht="163.5" customHeight="1" thickBot="1">
      <c r="A31" s="390"/>
      <c r="B31" s="392"/>
      <c r="C31" s="394"/>
      <c r="D31" s="375"/>
      <c r="E31" s="377"/>
      <c r="F31" s="361" t="s">
        <v>647</v>
      </c>
      <c r="G31" s="362">
        <v>40660</v>
      </c>
      <c r="H31" s="362">
        <v>41729</v>
      </c>
      <c r="I31" s="379"/>
      <c r="J31" s="381"/>
      <c r="K31" s="383"/>
      <c r="L31" s="385"/>
      <c r="M31" s="365"/>
      <c r="N31" s="367"/>
      <c r="O31" s="369"/>
      <c r="P31" s="371"/>
      <c r="Q31" s="373"/>
    </row>
    <row r="32" spans="1:17" ht="13.5" thickTop="1"/>
  </sheetData>
  <autoFilter ref="A5:Q29">
    <filterColumn colId="6" showButton="0"/>
    <filterColumn colId="10" showButton="0"/>
    <filterColumn colId="11" showButton="0"/>
    <filterColumn colId="13" showButton="0"/>
    <filterColumn colId="14" showButton="0"/>
  </autoFilter>
  <mergeCells count="47">
    <mergeCell ref="A8:A14"/>
    <mergeCell ref="B8:B14"/>
    <mergeCell ref="C8:C14"/>
    <mergeCell ref="D8:D14"/>
    <mergeCell ref="A1:Q1"/>
    <mergeCell ref="A2:Q2"/>
    <mergeCell ref="A3:Q3"/>
    <mergeCell ref="A5:A6"/>
    <mergeCell ref="B5:B6"/>
    <mergeCell ref="C5:C6"/>
    <mergeCell ref="D5:D6"/>
    <mergeCell ref="E5:E6"/>
    <mergeCell ref="F5:F6"/>
    <mergeCell ref="G5:H5"/>
    <mergeCell ref="I5:I6"/>
    <mergeCell ref="J5:J6"/>
    <mergeCell ref="K5:M5"/>
    <mergeCell ref="N5:P5"/>
    <mergeCell ref="Q5:Q6"/>
    <mergeCell ref="A15:A19"/>
    <mergeCell ref="B15:B19"/>
    <mergeCell ref="C15:C19"/>
    <mergeCell ref="D15:D19"/>
    <mergeCell ref="A22:A24"/>
    <mergeCell ref="B22:B24"/>
    <mergeCell ref="C22:C24"/>
    <mergeCell ref="D22:D24"/>
    <mergeCell ref="L30:L31"/>
    <mergeCell ref="A25:A26"/>
    <mergeCell ref="B25:B26"/>
    <mergeCell ref="A27:A28"/>
    <mergeCell ref="B27:B28"/>
    <mergeCell ref="C27:C28"/>
    <mergeCell ref="A30:A31"/>
    <mergeCell ref="B30:B31"/>
    <mergeCell ref="C30:C31"/>
    <mergeCell ref="C25:C26"/>
    <mergeCell ref="D30:D31"/>
    <mergeCell ref="E30:E31"/>
    <mergeCell ref="I30:I31"/>
    <mergeCell ref="J30:J31"/>
    <mergeCell ref="K30:K31"/>
    <mergeCell ref="M30:M31"/>
    <mergeCell ref="N30:N31"/>
    <mergeCell ref="O30:O31"/>
    <mergeCell ref="P30:P31"/>
    <mergeCell ref="Q30:Q31"/>
  </mergeCells>
  <dataValidations count="1">
    <dataValidation type="list" allowBlank="1" showInputMessage="1" showErrorMessage="1" sqref="F11 F15:F18 F20">
      <formula1>$R$1:$R$3</formula1>
    </dataValidation>
  </dataValidations>
  <printOptions horizontalCentered="1"/>
  <pageMargins left="0.19685039370078741" right="0" top="0.35433070866141736" bottom="0.15748031496062992" header="0" footer="0"/>
  <pageSetup orientation="landscape" r:id="rId1"/>
  <legacyDrawing r:id="rId2"/>
</worksheet>
</file>

<file path=xl/worksheets/sheet10.xml><?xml version="1.0" encoding="utf-8"?>
<worksheet xmlns="http://schemas.openxmlformats.org/spreadsheetml/2006/main" xmlns:r="http://schemas.openxmlformats.org/officeDocument/2006/relationships">
  <dimension ref="A1:BE16"/>
  <sheetViews>
    <sheetView workbookViewId="0">
      <selection activeCell="H10" sqref="H10:H13"/>
    </sheetView>
  </sheetViews>
  <sheetFormatPr baseColWidth="10" defaultRowHeight="15"/>
  <cols>
    <col min="1" max="1" width="11.42578125" style="52"/>
    <col min="2" max="2" width="13.7109375" customWidth="1"/>
    <col min="5" max="5" width="23.28515625" customWidth="1"/>
    <col min="11" max="11" width="26" customWidth="1"/>
    <col min="12" max="12" width="13.42578125" customWidth="1"/>
    <col min="14" max="14" width="12.28515625" customWidth="1"/>
    <col min="17" max="17" width="30.28515625" customWidth="1"/>
    <col min="18" max="57" width="11.42578125" style="82"/>
  </cols>
  <sheetData>
    <row r="1" spans="1:57" ht="18.75">
      <c r="A1" s="424" t="s">
        <v>0</v>
      </c>
      <c r="B1" s="425"/>
      <c r="C1" s="425"/>
      <c r="D1" s="425"/>
      <c r="E1" s="425"/>
      <c r="F1" s="425"/>
      <c r="G1" s="425"/>
      <c r="H1" s="425"/>
      <c r="I1" s="425"/>
      <c r="J1" s="425"/>
      <c r="K1" s="425"/>
      <c r="L1" s="425"/>
      <c r="M1" s="425"/>
      <c r="N1" s="425"/>
      <c r="O1" s="425"/>
      <c r="P1" s="425"/>
      <c r="Q1" s="425"/>
      <c r="R1" s="189" t="s">
        <v>14</v>
      </c>
    </row>
    <row r="2" spans="1:57" ht="18.75">
      <c r="A2" s="424" t="s">
        <v>722</v>
      </c>
      <c r="B2" s="425"/>
      <c r="C2" s="425"/>
      <c r="D2" s="425"/>
      <c r="E2" s="425"/>
      <c r="F2" s="425"/>
      <c r="G2" s="425"/>
      <c r="H2" s="425"/>
      <c r="I2" s="425"/>
      <c r="J2" s="425"/>
      <c r="K2" s="425"/>
      <c r="L2" s="425"/>
      <c r="M2" s="425"/>
      <c r="N2" s="425"/>
      <c r="O2" s="425"/>
      <c r="P2" s="425"/>
      <c r="Q2" s="425"/>
      <c r="R2" s="189" t="s">
        <v>15</v>
      </c>
    </row>
    <row r="3" spans="1:57" ht="18.75">
      <c r="A3" s="426" t="s">
        <v>25</v>
      </c>
      <c r="B3" s="425"/>
      <c r="C3" s="425"/>
      <c r="D3" s="425"/>
      <c r="E3" s="425"/>
      <c r="F3" s="425"/>
      <c r="G3" s="425"/>
      <c r="H3" s="425"/>
      <c r="I3" s="425"/>
      <c r="J3" s="425"/>
      <c r="K3" s="425"/>
      <c r="L3" s="425"/>
      <c r="M3" s="425"/>
      <c r="N3" s="425"/>
      <c r="O3" s="425"/>
      <c r="P3" s="425"/>
      <c r="Q3" s="425"/>
      <c r="R3" s="189" t="s">
        <v>160</v>
      </c>
    </row>
    <row r="4" spans="1:57" ht="15.75" thickBot="1">
      <c r="A4" s="53"/>
      <c r="B4" s="54"/>
      <c r="C4" s="54"/>
      <c r="D4" s="54"/>
      <c r="E4" s="55"/>
      <c r="F4" s="54"/>
      <c r="G4" s="54"/>
      <c r="H4" s="54"/>
      <c r="I4" s="54"/>
      <c r="J4" s="54"/>
      <c r="K4" s="54"/>
      <c r="L4" s="54"/>
      <c r="M4" s="54"/>
      <c r="N4" s="54"/>
      <c r="O4" s="54"/>
      <c r="P4" s="54"/>
      <c r="Q4" s="54"/>
    </row>
    <row r="5" spans="1:57" ht="16.5" thickTop="1" thickBot="1">
      <c r="A5" s="411" t="s">
        <v>1</v>
      </c>
      <c r="B5" s="411" t="s">
        <v>2</v>
      </c>
      <c r="C5" s="409" t="s">
        <v>3</v>
      </c>
      <c r="D5" s="409" t="s">
        <v>19</v>
      </c>
      <c r="E5" s="409" t="s">
        <v>4</v>
      </c>
      <c r="F5" s="409" t="s">
        <v>5</v>
      </c>
      <c r="G5" s="422" t="s">
        <v>17</v>
      </c>
      <c r="H5" s="423"/>
      <c r="I5" s="409" t="s">
        <v>6</v>
      </c>
      <c r="J5" s="411" t="s">
        <v>7</v>
      </c>
      <c r="K5" s="413" t="s">
        <v>8</v>
      </c>
      <c r="L5" s="413"/>
      <c r="M5" s="413"/>
      <c r="N5" s="413" t="s">
        <v>9</v>
      </c>
      <c r="O5" s="414"/>
      <c r="P5" s="475"/>
      <c r="Q5" s="476" t="s">
        <v>161</v>
      </c>
    </row>
    <row r="6" spans="1:57" ht="39.75" thickTop="1" thickBot="1">
      <c r="A6" s="474"/>
      <c r="B6" s="474"/>
      <c r="C6" s="473"/>
      <c r="D6" s="473"/>
      <c r="E6" s="473"/>
      <c r="F6" s="473"/>
      <c r="G6" s="172" t="s">
        <v>16</v>
      </c>
      <c r="H6" s="172" t="s">
        <v>18</v>
      </c>
      <c r="I6" s="473"/>
      <c r="J6" s="474"/>
      <c r="K6" s="57" t="s">
        <v>10</v>
      </c>
      <c r="L6" s="57" t="s">
        <v>24</v>
      </c>
      <c r="M6" s="57" t="s">
        <v>11</v>
      </c>
      <c r="N6" s="57" t="s">
        <v>12</v>
      </c>
      <c r="O6" s="57" t="s">
        <v>24</v>
      </c>
      <c r="P6" s="190" t="s">
        <v>13</v>
      </c>
      <c r="Q6" s="477"/>
      <c r="R6" s="191"/>
    </row>
    <row r="7" spans="1:57" s="200" customFormat="1" ht="39" customHeight="1" thickTop="1">
      <c r="A7" s="478">
        <v>1</v>
      </c>
      <c r="B7" s="480" t="s">
        <v>723</v>
      </c>
      <c r="C7" s="482" t="s">
        <v>14</v>
      </c>
      <c r="D7" s="551">
        <v>351.7</v>
      </c>
      <c r="E7" s="552" t="s">
        <v>724</v>
      </c>
      <c r="F7" s="553" t="s">
        <v>41</v>
      </c>
      <c r="G7" s="470">
        <v>40940</v>
      </c>
      <c r="H7" s="470">
        <v>41274</v>
      </c>
      <c r="I7" s="468">
        <v>410</v>
      </c>
      <c r="J7" s="468" t="s">
        <v>522</v>
      </c>
      <c r="K7" s="554" t="s">
        <v>725</v>
      </c>
      <c r="L7" s="194"/>
      <c r="M7" s="194"/>
      <c r="N7" s="555">
        <v>93.8</v>
      </c>
      <c r="O7" s="196"/>
      <c r="P7" s="197"/>
      <c r="Q7" s="556"/>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199"/>
      <c r="AX7" s="199"/>
      <c r="AY7" s="199"/>
      <c r="AZ7" s="199"/>
      <c r="BA7" s="199"/>
      <c r="BB7" s="199"/>
      <c r="BC7" s="199"/>
      <c r="BD7" s="199"/>
      <c r="BE7" s="199"/>
    </row>
    <row r="8" spans="1:57" s="200" customFormat="1" ht="38.25">
      <c r="A8" s="479"/>
      <c r="B8" s="481"/>
      <c r="C8" s="483"/>
      <c r="D8" s="557"/>
      <c r="E8" s="558"/>
      <c r="F8" s="325" t="s">
        <v>41</v>
      </c>
      <c r="G8" s="471"/>
      <c r="H8" s="471"/>
      <c r="I8" s="469"/>
      <c r="J8" s="469"/>
      <c r="K8" s="267" t="s">
        <v>726</v>
      </c>
      <c r="L8" s="202"/>
      <c r="M8" s="202"/>
      <c r="N8" s="559">
        <v>182.9</v>
      </c>
      <c r="O8" s="204"/>
      <c r="P8" s="205"/>
      <c r="Q8" s="198"/>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99"/>
      <c r="AV8" s="199"/>
      <c r="AW8" s="199"/>
      <c r="AX8" s="199"/>
      <c r="AY8" s="199"/>
      <c r="AZ8" s="199"/>
      <c r="BA8" s="199"/>
      <c r="BB8" s="199"/>
      <c r="BC8" s="199"/>
      <c r="BD8" s="199"/>
      <c r="BE8" s="199"/>
    </row>
    <row r="9" spans="1:57" s="200" customFormat="1" ht="39" thickBot="1">
      <c r="A9" s="560"/>
      <c r="B9" s="561"/>
      <c r="C9" s="562"/>
      <c r="D9" s="557"/>
      <c r="E9" s="563"/>
      <c r="F9" s="564" t="s">
        <v>41</v>
      </c>
      <c r="G9" s="565"/>
      <c r="H9" s="565"/>
      <c r="I9" s="566"/>
      <c r="J9" s="566"/>
      <c r="K9" s="567" t="s">
        <v>727</v>
      </c>
      <c r="L9" s="568"/>
      <c r="M9" s="568"/>
      <c r="N9" s="569">
        <v>75</v>
      </c>
      <c r="O9" s="570"/>
      <c r="P9" s="571"/>
      <c r="Q9" s="572"/>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199"/>
      <c r="AV9" s="199"/>
      <c r="AW9" s="199"/>
      <c r="AX9" s="199"/>
      <c r="AY9" s="199"/>
      <c r="AZ9" s="199"/>
      <c r="BA9" s="199"/>
      <c r="BB9" s="199"/>
      <c r="BC9" s="199"/>
      <c r="BD9" s="199"/>
      <c r="BE9" s="199"/>
    </row>
    <row r="10" spans="1:57" ht="96.75" customHeight="1" thickTop="1">
      <c r="A10" s="573">
        <v>2</v>
      </c>
      <c r="B10" s="574" t="s">
        <v>728</v>
      </c>
      <c r="C10" s="468" t="s">
        <v>14</v>
      </c>
      <c r="D10" s="551">
        <v>154</v>
      </c>
      <c r="E10" s="575" t="s">
        <v>729</v>
      </c>
      <c r="F10" s="551" t="s">
        <v>41</v>
      </c>
      <c r="G10" s="470">
        <v>40940</v>
      </c>
      <c r="H10" s="470">
        <v>41274</v>
      </c>
      <c r="I10" s="551">
        <v>420</v>
      </c>
      <c r="J10" s="468" t="s">
        <v>522</v>
      </c>
      <c r="K10" s="576" t="s">
        <v>730</v>
      </c>
      <c r="L10" s="577"/>
      <c r="M10" s="577"/>
      <c r="N10" s="192">
        <v>58</v>
      </c>
      <c r="O10" s="577"/>
      <c r="P10" s="577"/>
      <c r="Q10" s="578"/>
    </row>
    <row r="11" spans="1:57" ht="102">
      <c r="A11" s="579"/>
      <c r="B11" s="580"/>
      <c r="C11" s="427"/>
      <c r="D11" s="581"/>
      <c r="E11" s="582"/>
      <c r="F11" s="581"/>
      <c r="G11" s="583"/>
      <c r="H11" s="583"/>
      <c r="I11" s="581"/>
      <c r="J11" s="427"/>
      <c r="K11" s="267" t="s">
        <v>731</v>
      </c>
      <c r="L11" s="95"/>
      <c r="M11" s="95"/>
      <c r="N11" s="268">
        <v>34.799999999999997</v>
      </c>
      <c r="O11" s="95"/>
      <c r="P11" s="95"/>
      <c r="Q11" s="584"/>
    </row>
    <row r="12" spans="1:57" ht="51">
      <c r="A12" s="579"/>
      <c r="B12" s="580"/>
      <c r="C12" s="427"/>
      <c r="D12" s="581"/>
      <c r="E12" s="582"/>
      <c r="F12" s="581"/>
      <c r="G12" s="583"/>
      <c r="H12" s="583"/>
      <c r="I12" s="581"/>
      <c r="J12" s="427"/>
      <c r="K12" s="267" t="s">
        <v>732</v>
      </c>
      <c r="L12" s="95"/>
      <c r="M12" s="95"/>
      <c r="N12" s="268">
        <v>49.2</v>
      </c>
      <c r="O12" s="95"/>
      <c r="P12" s="95"/>
      <c r="Q12" s="584"/>
    </row>
    <row r="13" spans="1:57" ht="26.25" thickBot="1">
      <c r="A13" s="585"/>
      <c r="B13" s="586"/>
      <c r="C13" s="587"/>
      <c r="D13" s="581"/>
      <c r="E13" s="582"/>
      <c r="F13" s="581"/>
      <c r="G13" s="588"/>
      <c r="H13" s="588"/>
      <c r="I13" s="581"/>
      <c r="J13" s="587"/>
      <c r="K13" s="589" t="s">
        <v>733</v>
      </c>
      <c r="L13" s="590"/>
      <c r="M13" s="590"/>
      <c r="N13" s="591">
        <v>12</v>
      </c>
      <c r="O13" s="590"/>
      <c r="P13" s="590"/>
      <c r="Q13" s="592"/>
    </row>
    <row r="14" spans="1:57" ht="105" customHeight="1" thickTop="1">
      <c r="A14" s="593">
        <v>3</v>
      </c>
      <c r="B14" s="594" t="s">
        <v>734</v>
      </c>
      <c r="C14" s="468" t="s">
        <v>14</v>
      </c>
      <c r="D14" s="595">
        <v>69</v>
      </c>
      <c r="E14" s="596" t="s">
        <v>735</v>
      </c>
      <c r="F14" s="597" t="s">
        <v>41</v>
      </c>
      <c r="G14" s="598">
        <v>40909</v>
      </c>
      <c r="H14" s="599">
        <v>41274</v>
      </c>
      <c r="I14" s="600">
        <v>420</v>
      </c>
      <c r="J14" s="600" t="s">
        <v>522</v>
      </c>
      <c r="K14" s="576" t="s">
        <v>736</v>
      </c>
      <c r="L14" s="577"/>
      <c r="M14" s="577"/>
      <c r="N14" s="192">
        <v>18.899999999999999</v>
      </c>
      <c r="O14" s="577"/>
      <c r="P14" s="577"/>
      <c r="Q14" s="578"/>
      <c r="R14"/>
    </row>
    <row r="15" spans="1:57" ht="26.25" thickBot="1">
      <c r="A15" s="601"/>
      <c r="B15" s="602"/>
      <c r="C15" s="428"/>
      <c r="D15" s="603"/>
      <c r="E15" s="604"/>
      <c r="F15" s="605"/>
      <c r="G15" s="606"/>
      <c r="H15" s="607"/>
      <c r="I15" s="608"/>
      <c r="J15" s="608"/>
      <c r="K15" s="609" t="s">
        <v>737</v>
      </c>
      <c r="L15" s="610"/>
      <c r="M15" s="610"/>
      <c r="N15" s="273">
        <v>50</v>
      </c>
      <c r="O15" s="610"/>
      <c r="P15" s="610"/>
      <c r="Q15" s="611"/>
      <c r="R15"/>
    </row>
    <row r="16" spans="1:57" ht="15.75" thickTop="1">
      <c r="R16"/>
    </row>
  </sheetData>
  <mergeCells count="44">
    <mergeCell ref="G14:G15"/>
    <mergeCell ref="H14:H15"/>
    <mergeCell ref="I14:I15"/>
    <mergeCell ref="J14:J15"/>
    <mergeCell ref="G10:G13"/>
    <mergeCell ref="H10:H13"/>
    <mergeCell ref="I10:I13"/>
    <mergeCell ref="J10:J13"/>
    <mergeCell ref="A14:A15"/>
    <mergeCell ref="B14:B15"/>
    <mergeCell ref="C14:C15"/>
    <mergeCell ref="D14:D15"/>
    <mergeCell ref="E14:E15"/>
    <mergeCell ref="F14:F15"/>
    <mergeCell ref="G7:G9"/>
    <mergeCell ref="H7:H9"/>
    <mergeCell ref="I7:I9"/>
    <mergeCell ref="J7:J9"/>
    <mergeCell ref="A10:A13"/>
    <mergeCell ref="B10:B13"/>
    <mergeCell ref="C10:C13"/>
    <mergeCell ref="D10:D13"/>
    <mergeCell ref="E10:E13"/>
    <mergeCell ref="F10:F13"/>
    <mergeCell ref="I5:I6"/>
    <mergeCell ref="J5:J6"/>
    <mergeCell ref="K5:M5"/>
    <mergeCell ref="N5:P5"/>
    <mergeCell ref="Q5:Q6"/>
    <mergeCell ref="A7:A9"/>
    <mergeCell ref="B7:B9"/>
    <mergeCell ref="C7:C9"/>
    <mergeCell ref="D7:D9"/>
    <mergeCell ref="E7:E9"/>
    <mergeCell ref="A1:Q1"/>
    <mergeCell ref="A2:Q2"/>
    <mergeCell ref="A3:Q3"/>
    <mergeCell ref="A5:A6"/>
    <mergeCell ref="B5:B6"/>
    <mergeCell ref="C5:C6"/>
    <mergeCell ref="D5:D6"/>
    <mergeCell ref="E5:E6"/>
    <mergeCell ref="F5:F6"/>
    <mergeCell ref="G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R144"/>
  <sheetViews>
    <sheetView workbookViewId="0">
      <selection activeCell="F14" sqref="F14"/>
    </sheetView>
  </sheetViews>
  <sheetFormatPr baseColWidth="10" defaultRowHeight="15"/>
  <cols>
    <col min="1" max="1" width="5.7109375" customWidth="1"/>
    <col min="2" max="2" width="27.7109375" customWidth="1"/>
    <col min="5" max="5" width="30.85546875" style="188" customWidth="1"/>
    <col min="6" max="6" width="13.42578125" customWidth="1"/>
    <col min="7" max="7" width="18.140625" customWidth="1"/>
    <col min="8" max="8" width="17.5703125" customWidth="1"/>
    <col min="9" max="9" width="15.7109375" customWidth="1"/>
    <col min="14" max="14" width="12.140625" customWidth="1"/>
    <col min="17" max="17" width="17.7109375" customWidth="1"/>
  </cols>
  <sheetData>
    <row r="1" spans="1:18" ht="18.75">
      <c r="A1" s="424" t="s">
        <v>0</v>
      </c>
      <c r="B1" s="425"/>
      <c r="C1" s="425"/>
      <c r="D1" s="425"/>
      <c r="E1" s="425"/>
      <c r="F1" s="425"/>
      <c r="G1" s="425"/>
      <c r="H1" s="425"/>
      <c r="I1" s="425"/>
      <c r="J1" s="425"/>
      <c r="K1" s="425"/>
      <c r="L1" s="425"/>
      <c r="M1" s="425"/>
      <c r="N1" s="425"/>
      <c r="O1" s="425"/>
      <c r="P1" s="425"/>
      <c r="Q1" s="425"/>
      <c r="R1" s="66" t="s">
        <v>14</v>
      </c>
    </row>
    <row r="2" spans="1:18" ht="18.75">
      <c r="A2" s="426" t="s">
        <v>25</v>
      </c>
      <c r="B2" s="425"/>
      <c r="C2" s="425"/>
      <c r="D2" s="425"/>
      <c r="E2" s="425"/>
      <c r="F2" s="425"/>
      <c r="G2" s="425"/>
      <c r="H2" s="425"/>
      <c r="I2" s="425"/>
      <c r="J2" s="425"/>
      <c r="K2" s="425"/>
      <c r="L2" s="425"/>
      <c r="M2" s="425"/>
      <c r="N2" s="425"/>
      <c r="O2" s="425"/>
      <c r="P2" s="425"/>
      <c r="Q2" s="425"/>
      <c r="R2" s="66" t="s">
        <v>160</v>
      </c>
    </row>
    <row r="3" spans="1:18">
      <c r="A3" s="67"/>
      <c r="B3" s="54"/>
      <c r="C3" s="54"/>
      <c r="D3" s="54"/>
      <c r="E3" s="55"/>
      <c r="F3" s="54"/>
      <c r="G3" s="54"/>
      <c r="H3" s="54"/>
      <c r="I3" s="54"/>
      <c r="J3" s="54"/>
      <c r="K3" s="54"/>
      <c r="L3" s="54"/>
      <c r="M3" s="54"/>
      <c r="N3" s="54"/>
      <c r="O3" s="54"/>
      <c r="P3" s="54"/>
      <c r="Q3" s="54"/>
    </row>
    <row r="4" spans="1:18" ht="27.75" customHeight="1">
      <c r="A4" s="612" t="s">
        <v>1</v>
      </c>
      <c r="B4" s="612" t="s">
        <v>2</v>
      </c>
      <c r="C4" s="613" t="s">
        <v>3</v>
      </c>
      <c r="D4" s="613" t="s">
        <v>738</v>
      </c>
      <c r="E4" s="613" t="s">
        <v>4</v>
      </c>
      <c r="F4" s="613" t="s">
        <v>5</v>
      </c>
      <c r="G4" s="613" t="s">
        <v>17</v>
      </c>
      <c r="H4" s="613"/>
      <c r="I4" s="613" t="s">
        <v>6</v>
      </c>
      <c r="J4" s="612" t="s">
        <v>7</v>
      </c>
      <c r="K4" s="614" t="s">
        <v>8</v>
      </c>
      <c r="L4" s="614"/>
      <c r="M4" s="614"/>
      <c r="N4" s="614" t="s">
        <v>9</v>
      </c>
      <c r="O4" s="615"/>
      <c r="P4" s="615"/>
      <c r="Q4" s="616" t="s">
        <v>161</v>
      </c>
    </row>
    <row r="5" spans="1:18" s="174" customFormat="1" ht="49.5" customHeight="1">
      <c r="A5" s="617"/>
      <c r="B5" s="617"/>
      <c r="C5" s="613"/>
      <c r="D5" s="613"/>
      <c r="E5" s="613"/>
      <c r="F5" s="613"/>
      <c r="G5" s="618" t="s">
        <v>16</v>
      </c>
      <c r="H5" s="618" t="s">
        <v>18</v>
      </c>
      <c r="I5" s="613"/>
      <c r="J5" s="617"/>
      <c r="K5" s="619" t="s">
        <v>10</v>
      </c>
      <c r="L5" s="619" t="s">
        <v>24</v>
      </c>
      <c r="M5" s="619" t="s">
        <v>11</v>
      </c>
      <c r="N5" s="619" t="s">
        <v>12</v>
      </c>
      <c r="O5" s="619" t="s">
        <v>24</v>
      </c>
      <c r="P5" s="619" t="s">
        <v>13</v>
      </c>
      <c r="Q5" s="616"/>
    </row>
    <row r="6" spans="1:18" s="624" customFormat="1" ht="12.75" customHeight="1">
      <c r="A6" s="620"/>
      <c r="B6" s="620"/>
      <c r="C6" s="621"/>
      <c r="D6" s="621"/>
      <c r="E6" s="621"/>
      <c r="F6" s="621"/>
      <c r="G6" s="621"/>
      <c r="H6" s="621"/>
      <c r="I6" s="621"/>
      <c r="J6" s="620"/>
      <c r="K6" s="622"/>
      <c r="L6" s="622"/>
      <c r="M6" s="622"/>
      <c r="N6" s="622"/>
      <c r="O6" s="622"/>
      <c r="P6" s="622"/>
      <c r="Q6" s="623"/>
    </row>
    <row r="7" spans="1:18" ht="28.5">
      <c r="A7" s="625" t="s">
        <v>739</v>
      </c>
      <c r="B7" s="626"/>
      <c r="C7" s="626"/>
      <c r="D7" s="626"/>
      <c r="E7" s="626"/>
      <c r="F7" s="626"/>
      <c r="G7" s="626"/>
      <c r="H7" s="626"/>
      <c r="I7" s="626"/>
      <c r="J7" s="626"/>
      <c r="K7" s="626"/>
      <c r="L7" s="626"/>
      <c r="M7" s="626"/>
      <c r="N7" s="626"/>
      <c r="O7" s="626"/>
      <c r="P7" s="626"/>
      <c r="Q7" s="627"/>
      <c r="R7" s="122"/>
    </row>
    <row r="8" spans="1:18" s="639" customFormat="1" ht="67.5">
      <c r="A8" s="628">
        <v>1</v>
      </c>
      <c r="B8" s="629" t="s">
        <v>740</v>
      </c>
      <c r="C8" s="630" t="s">
        <v>398</v>
      </c>
      <c r="D8" s="631">
        <f>131753846/1000000</f>
        <v>131.75384600000001</v>
      </c>
      <c r="E8" s="629" t="s">
        <v>741</v>
      </c>
      <c r="F8" s="630" t="s">
        <v>742</v>
      </c>
      <c r="G8" s="632">
        <v>40764</v>
      </c>
      <c r="H8" s="633">
        <v>40958</v>
      </c>
      <c r="I8" s="628">
        <v>1562</v>
      </c>
      <c r="J8" s="630" t="s">
        <v>743</v>
      </c>
      <c r="K8" s="634">
        <v>0.2</v>
      </c>
      <c r="L8" s="635"/>
      <c r="M8" s="634"/>
      <c r="N8" s="631">
        <f>26350769/1000000</f>
        <v>26.350769</v>
      </c>
      <c r="O8" s="636"/>
      <c r="P8" s="634"/>
      <c r="Q8" s="637"/>
      <c r="R8" s="638"/>
    </row>
    <row r="9" spans="1:18" s="639" customFormat="1" ht="56.25">
      <c r="A9" s="628">
        <v>2</v>
      </c>
      <c r="B9" s="629" t="s">
        <v>740</v>
      </c>
      <c r="C9" s="630" t="s">
        <v>398</v>
      </c>
      <c r="D9" s="631">
        <f>81253400/1000000</f>
        <v>81.253399999999999</v>
      </c>
      <c r="E9" s="629" t="s">
        <v>744</v>
      </c>
      <c r="F9" s="630" t="s">
        <v>745</v>
      </c>
      <c r="G9" s="632">
        <v>40613</v>
      </c>
      <c r="H9" s="633">
        <v>40971</v>
      </c>
      <c r="I9" s="628">
        <v>1562</v>
      </c>
      <c r="J9" s="628" t="s">
        <v>746</v>
      </c>
      <c r="K9" s="628">
        <v>71</v>
      </c>
      <c r="L9" s="628"/>
      <c r="M9" s="640"/>
      <c r="N9" s="641">
        <f>23650000/1000000</f>
        <v>23.65</v>
      </c>
      <c r="O9" s="636"/>
      <c r="P9" s="640"/>
      <c r="Q9" s="637"/>
      <c r="R9" s="638"/>
    </row>
    <row r="10" spans="1:18" s="639" customFormat="1" ht="45">
      <c r="A10" s="628">
        <v>3</v>
      </c>
      <c r="B10" s="629" t="s">
        <v>740</v>
      </c>
      <c r="C10" s="630" t="s">
        <v>398</v>
      </c>
      <c r="D10" s="631">
        <f>46298000/1000000</f>
        <v>46.298000000000002</v>
      </c>
      <c r="E10" s="629" t="s">
        <v>747</v>
      </c>
      <c r="F10" s="630" t="s">
        <v>196</v>
      </c>
      <c r="G10" s="632" t="s">
        <v>196</v>
      </c>
      <c r="H10" s="633" t="s">
        <v>196</v>
      </c>
      <c r="I10" s="628">
        <v>1562</v>
      </c>
      <c r="J10" s="628" t="s">
        <v>196</v>
      </c>
      <c r="K10" s="628" t="s">
        <v>196</v>
      </c>
      <c r="L10" s="628"/>
      <c r="M10" s="628"/>
      <c r="N10" s="641">
        <f>46298000/1000000</f>
        <v>46.298000000000002</v>
      </c>
      <c r="O10" s="636"/>
      <c r="P10" s="628"/>
      <c r="Q10" s="637"/>
      <c r="R10" s="638"/>
    </row>
    <row r="11" spans="1:18" s="639" customFormat="1" ht="22.5">
      <c r="A11" s="628">
        <v>4</v>
      </c>
      <c r="B11" s="629" t="s">
        <v>740</v>
      </c>
      <c r="C11" s="630" t="s">
        <v>398</v>
      </c>
      <c r="D11" s="631">
        <f>37800000/1000000</f>
        <v>37.799999999999997</v>
      </c>
      <c r="E11" s="629" t="s">
        <v>748</v>
      </c>
      <c r="F11" s="630" t="s">
        <v>196</v>
      </c>
      <c r="G11" s="632" t="s">
        <v>196</v>
      </c>
      <c r="H11" s="633" t="s">
        <v>196</v>
      </c>
      <c r="I11" s="628">
        <v>1562</v>
      </c>
      <c r="J11" s="628" t="s">
        <v>196</v>
      </c>
      <c r="K11" s="628" t="s">
        <v>196</v>
      </c>
      <c r="L11" s="628"/>
      <c r="M11" s="628"/>
      <c r="N11" s="641">
        <f>37800000/1000000</f>
        <v>37.799999999999997</v>
      </c>
      <c r="O11" s="636"/>
      <c r="P11" s="628"/>
      <c r="Q11" s="637"/>
      <c r="R11" s="638"/>
    </row>
    <row r="12" spans="1:18" s="639" customFormat="1" ht="45">
      <c r="A12" s="628">
        <v>5</v>
      </c>
      <c r="B12" s="642" t="s">
        <v>749</v>
      </c>
      <c r="C12" s="643" t="s">
        <v>750</v>
      </c>
      <c r="D12" s="644">
        <f>N12</f>
        <v>1512.33</v>
      </c>
      <c r="E12" s="629" t="s">
        <v>751</v>
      </c>
      <c r="F12" s="643" t="s">
        <v>752</v>
      </c>
      <c r="G12" s="632">
        <v>40554</v>
      </c>
      <c r="H12" s="632">
        <v>41127</v>
      </c>
      <c r="I12" s="645">
        <v>1619</v>
      </c>
      <c r="J12" s="645" t="s">
        <v>753</v>
      </c>
      <c r="K12" s="646">
        <v>2000</v>
      </c>
      <c r="L12" s="647"/>
      <c r="M12" s="647"/>
      <c r="N12" s="646">
        <v>1512.33</v>
      </c>
      <c r="O12" s="647"/>
      <c r="P12" s="647"/>
      <c r="Q12" s="642" t="s">
        <v>754</v>
      </c>
      <c r="R12" s="638"/>
    </row>
    <row r="13" spans="1:18" s="639" customFormat="1" ht="22.5">
      <c r="A13" s="628">
        <v>6</v>
      </c>
      <c r="B13" s="647" t="s">
        <v>749</v>
      </c>
      <c r="C13" s="643" t="s">
        <v>750</v>
      </c>
      <c r="D13" s="644">
        <f>N13</f>
        <v>1849.7809999999999</v>
      </c>
      <c r="E13" s="629" t="s">
        <v>751</v>
      </c>
      <c r="F13" s="643" t="s">
        <v>196</v>
      </c>
      <c r="G13" s="632">
        <v>40973</v>
      </c>
      <c r="H13" s="632">
        <v>41232</v>
      </c>
      <c r="I13" s="645">
        <v>1621</v>
      </c>
      <c r="J13" s="645" t="s">
        <v>753</v>
      </c>
      <c r="K13" s="646">
        <f>895+922</f>
        <v>1817</v>
      </c>
      <c r="L13" s="647"/>
      <c r="M13" s="647"/>
      <c r="N13" s="646">
        <v>1849.7809999999999</v>
      </c>
      <c r="O13" s="647"/>
      <c r="P13" s="647"/>
      <c r="Q13" s="642" t="s">
        <v>755</v>
      </c>
      <c r="R13" s="638"/>
    </row>
    <row r="14" spans="1:18" s="639" customFormat="1" ht="21.75" customHeight="1">
      <c r="A14" s="628">
        <v>7</v>
      </c>
      <c r="B14" s="647" t="s">
        <v>756</v>
      </c>
      <c r="C14" s="645"/>
      <c r="D14" s="644">
        <f>N14</f>
        <v>202.08500000000001</v>
      </c>
      <c r="E14" s="629" t="s">
        <v>757</v>
      </c>
      <c r="F14" s="645" t="s">
        <v>758</v>
      </c>
      <c r="G14" s="632">
        <v>40812</v>
      </c>
      <c r="H14" s="632">
        <f>G14+365-1</f>
        <v>41176</v>
      </c>
      <c r="I14" s="645">
        <v>1628</v>
      </c>
      <c r="J14" s="645" t="s">
        <v>759</v>
      </c>
      <c r="K14" s="645" t="s">
        <v>760</v>
      </c>
      <c r="L14" s="647"/>
      <c r="M14" s="647"/>
      <c r="N14" s="646">
        <v>202.08500000000001</v>
      </c>
      <c r="O14" s="647"/>
      <c r="P14" s="647"/>
      <c r="Q14" s="642" t="s">
        <v>761</v>
      </c>
      <c r="R14" s="638"/>
    </row>
    <row r="15" spans="1:18" s="639" customFormat="1" ht="45">
      <c r="A15" s="628">
        <v>8</v>
      </c>
      <c r="B15" s="648" t="s">
        <v>762</v>
      </c>
      <c r="C15" s="643" t="s">
        <v>763</v>
      </c>
      <c r="D15" s="644">
        <v>610212.69999999995</v>
      </c>
      <c r="E15" s="629" t="s">
        <v>757</v>
      </c>
      <c r="F15" s="644" t="s">
        <v>764</v>
      </c>
      <c r="G15" s="632">
        <v>40709</v>
      </c>
      <c r="H15" s="632">
        <v>40948</v>
      </c>
      <c r="I15" s="649">
        <v>1628</v>
      </c>
      <c r="J15" s="649" t="s">
        <v>753</v>
      </c>
      <c r="K15" s="650">
        <v>12000</v>
      </c>
      <c r="L15" s="649"/>
      <c r="M15" s="649"/>
      <c r="N15" s="650">
        <v>1154.097</v>
      </c>
      <c r="O15" s="649"/>
      <c r="P15" s="649"/>
      <c r="Q15" s="649"/>
      <c r="R15" s="638"/>
    </row>
    <row r="16" spans="1:18" s="639" customFormat="1" ht="45">
      <c r="A16" s="628">
        <v>9</v>
      </c>
      <c r="B16" s="648" t="s">
        <v>762</v>
      </c>
      <c r="C16" s="643" t="s">
        <v>763</v>
      </c>
      <c r="D16" s="644">
        <v>610212.69999999995</v>
      </c>
      <c r="E16" s="629" t="s">
        <v>757</v>
      </c>
      <c r="F16" s="644" t="s">
        <v>196</v>
      </c>
      <c r="G16" s="632">
        <v>40949</v>
      </c>
      <c r="H16" s="632">
        <f>G16+180-1</f>
        <v>41128</v>
      </c>
      <c r="I16" s="649"/>
      <c r="J16" s="649"/>
      <c r="K16" s="650"/>
      <c r="L16" s="649"/>
      <c r="M16" s="649"/>
      <c r="N16" s="650"/>
      <c r="O16" s="649"/>
      <c r="P16" s="649"/>
      <c r="Q16" s="649"/>
      <c r="R16" s="638"/>
    </row>
    <row r="17" spans="1:18" s="639" customFormat="1" ht="56.25">
      <c r="A17" s="628">
        <v>10</v>
      </c>
      <c r="B17" s="647" t="s">
        <v>765</v>
      </c>
      <c r="C17" s="645" t="s">
        <v>766</v>
      </c>
      <c r="D17" s="644">
        <v>9925.5</v>
      </c>
      <c r="E17" s="629" t="s">
        <v>767</v>
      </c>
      <c r="F17" s="651" t="s">
        <v>768</v>
      </c>
      <c r="G17" s="632">
        <v>40514</v>
      </c>
      <c r="H17" s="632">
        <v>41307</v>
      </c>
      <c r="I17" s="649">
        <v>1638</v>
      </c>
      <c r="J17" s="649" t="s">
        <v>769</v>
      </c>
      <c r="K17" s="650">
        <v>10066.558000000001</v>
      </c>
      <c r="L17" s="649"/>
      <c r="M17" s="649"/>
      <c r="N17" s="650">
        <v>6974.1210000000001</v>
      </c>
      <c r="O17" s="649"/>
      <c r="P17" s="649"/>
      <c r="Q17" s="652" t="s">
        <v>770</v>
      </c>
      <c r="R17" s="638"/>
    </row>
    <row r="18" spans="1:18" s="639" customFormat="1" ht="11.25">
      <c r="A18" s="628">
        <v>11</v>
      </c>
      <c r="B18" s="647" t="s">
        <v>765</v>
      </c>
      <c r="C18" s="645" t="s">
        <v>766</v>
      </c>
      <c r="D18" s="644">
        <v>6697</v>
      </c>
      <c r="E18" s="629" t="s">
        <v>767</v>
      </c>
      <c r="F18" s="651" t="s">
        <v>196</v>
      </c>
      <c r="G18" s="632" t="s">
        <v>771</v>
      </c>
      <c r="H18" s="632">
        <v>41700</v>
      </c>
      <c r="I18" s="649"/>
      <c r="J18" s="649"/>
      <c r="K18" s="650"/>
      <c r="L18" s="649"/>
      <c r="M18" s="649"/>
      <c r="N18" s="650"/>
      <c r="O18" s="649"/>
      <c r="P18" s="649"/>
      <c r="Q18" s="652"/>
      <c r="R18" s="638"/>
    </row>
    <row r="19" spans="1:18" s="639" customFormat="1" ht="45">
      <c r="A19" s="628">
        <v>12</v>
      </c>
      <c r="B19" s="648" t="s">
        <v>772</v>
      </c>
      <c r="C19" s="643" t="s">
        <v>763</v>
      </c>
      <c r="D19" s="644">
        <v>20180</v>
      </c>
      <c r="E19" s="629" t="s">
        <v>751</v>
      </c>
      <c r="F19" s="643" t="s">
        <v>773</v>
      </c>
      <c r="G19" s="632">
        <v>40665</v>
      </c>
      <c r="H19" s="632">
        <v>41326</v>
      </c>
      <c r="I19" s="649">
        <v>1651</v>
      </c>
      <c r="J19" s="649" t="s">
        <v>753</v>
      </c>
      <c r="K19" s="650">
        <f>2144+122+9840+200</f>
        <v>12306</v>
      </c>
      <c r="L19" s="649"/>
      <c r="M19" s="649"/>
      <c r="N19" s="650">
        <f>(2093503+3979998)/1000</f>
        <v>6073.5010000000002</v>
      </c>
      <c r="O19" s="649"/>
      <c r="P19" s="649"/>
      <c r="Q19" s="652" t="s">
        <v>774</v>
      </c>
      <c r="R19" s="638"/>
    </row>
    <row r="20" spans="1:18" s="639" customFormat="1" ht="45">
      <c r="A20" s="628">
        <v>13</v>
      </c>
      <c r="B20" s="648" t="s">
        <v>772</v>
      </c>
      <c r="C20" s="643" t="s">
        <v>763</v>
      </c>
      <c r="D20" s="644">
        <f>12400</f>
        <v>12400</v>
      </c>
      <c r="E20" s="629" t="s">
        <v>751</v>
      </c>
      <c r="F20" s="653" t="s">
        <v>196</v>
      </c>
      <c r="G20" s="632">
        <v>41205</v>
      </c>
      <c r="H20" s="632">
        <f>G20+540-1</f>
        <v>41744</v>
      </c>
      <c r="I20" s="649"/>
      <c r="J20" s="649"/>
      <c r="K20" s="650"/>
      <c r="L20" s="649"/>
      <c r="M20" s="649"/>
      <c r="N20" s="650"/>
      <c r="O20" s="649"/>
      <c r="P20" s="649"/>
      <c r="Q20" s="652"/>
      <c r="R20" s="638"/>
    </row>
    <row r="21" spans="1:18" s="639" customFormat="1" ht="56.25">
      <c r="A21" s="628">
        <v>14</v>
      </c>
      <c r="B21" s="648" t="s">
        <v>775</v>
      </c>
      <c r="C21" s="643" t="s">
        <v>750</v>
      </c>
      <c r="D21" s="644">
        <v>16986</v>
      </c>
      <c r="E21" s="629" t="s">
        <v>751</v>
      </c>
      <c r="F21" s="653" t="s">
        <v>776</v>
      </c>
      <c r="G21" s="632">
        <v>40386</v>
      </c>
      <c r="H21" s="632">
        <v>41051</v>
      </c>
      <c r="I21" s="649">
        <v>1652</v>
      </c>
      <c r="J21" s="649" t="s">
        <v>753</v>
      </c>
      <c r="K21" s="650">
        <f>5680+272+13508+458+100000</f>
        <v>119918</v>
      </c>
      <c r="L21" s="649"/>
      <c r="M21" s="649"/>
      <c r="N21" s="650">
        <f>(6846850+2594876)/1000</f>
        <v>9441.7260000000006</v>
      </c>
      <c r="O21" s="649"/>
      <c r="P21" s="649"/>
      <c r="Q21" s="652" t="s">
        <v>777</v>
      </c>
      <c r="R21" s="638"/>
    </row>
    <row r="22" spans="1:18" s="639" customFormat="1" ht="22.5">
      <c r="A22" s="628">
        <v>15</v>
      </c>
      <c r="B22" s="648" t="s">
        <v>778</v>
      </c>
      <c r="C22" s="643" t="s">
        <v>750</v>
      </c>
      <c r="D22" s="644">
        <v>9495</v>
      </c>
      <c r="E22" s="629" t="s">
        <v>751</v>
      </c>
      <c r="F22" s="653" t="s">
        <v>196</v>
      </c>
      <c r="G22" s="632">
        <v>41054</v>
      </c>
      <c r="H22" s="632">
        <f>G22+540-1</f>
        <v>41593</v>
      </c>
      <c r="I22" s="649"/>
      <c r="J22" s="649"/>
      <c r="K22" s="650"/>
      <c r="L22" s="649"/>
      <c r="M22" s="649"/>
      <c r="N22" s="650"/>
      <c r="O22" s="649"/>
      <c r="P22" s="649"/>
      <c r="Q22" s="652"/>
      <c r="R22" s="638"/>
    </row>
    <row r="23" spans="1:18" s="639" customFormat="1" ht="45">
      <c r="A23" s="628">
        <v>16</v>
      </c>
      <c r="B23" s="647" t="s">
        <v>779</v>
      </c>
      <c r="C23" s="643" t="s">
        <v>763</v>
      </c>
      <c r="D23" s="644">
        <v>10852.346</v>
      </c>
      <c r="E23" s="629" t="s">
        <v>751</v>
      </c>
      <c r="F23" s="654" t="s">
        <v>780</v>
      </c>
      <c r="G23" s="632">
        <v>40862</v>
      </c>
      <c r="H23" s="632">
        <f>G23+540-1</f>
        <v>41401</v>
      </c>
      <c r="I23" s="645">
        <v>1653</v>
      </c>
      <c r="J23" s="649" t="s">
        <v>759</v>
      </c>
      <c r="K23" s="649" t="s">
        <v>760</v>
      </c>
      <c r="L23" s="649"/>
      <c r="M23" s="649"/>
      <c r="N23" s="650">
        <f>(4727633+2545648)/1000</f>
        <v>7273.2809999999999</v>
      </c>
      <c r="O23" s="649"/>
      <c r="P23" s="649"/>
      <c r="Q23" s="649"/>
      <c r="R23" s="638"/>
    </row>
    <row r="24" spans="1:18" s="639" customFormat="1" ht="45">
      <c r="A24" s="628">
        <v>17</v>
      </c>
      <c r="B24" s="647" t="s">
        <v>779</v>
      </c>
      <c r="C24" s="643" t="s">
        <v>763</v>
      </c>
      <c r="D24" s="644">
        <v>14238.790712</v>
      </c>
      <c r="E24" s="629" t="s">
        <v>751</v>
      </c>
      <c r="F24" s="654" t="s">
        <v>196</v>
      </c>
      <c r="G24" s="632">
        <v>41522</v>
      </c>
      <c r="H24" s="632">
        <f>G24+540-1</f>
        <v>42061</v>
      </c>
      <c r="I24" s="645">
        <v>1653</v>
      </c>
      <c r="J24" s="649"/>
      <c r="K24" s="649"/>
      <c r="L24" s="649"/>
      <c r="M24" s="649"/>
      <c r="N24" s="650"/>
      <c r="O24" s="649"/>
      <c r="P24" s="649"/>
      <c r="Q24" s="649"/>
      <c r="R24" s="638"/>
    </row>
    <row r="25" spans="1:18" s="639" customFormat="1" ht="101.25">
      <c r="A25" s="628">
        <v>18</v>
      </c>
      <c r="B25" s="648" t="s">
        <v>781</v>
      </c>
      <c r="C25" s="643" t="s">
        <v>763</v>
      </c>
      <c r="D25" s="644">
        <v>4690</v>
      </c>
      <c r="E25" s="629" t="s">
        <v>767</v>
      </c>
      <c r="F25" s="643" t="s">
        <v>782</v>
      </c>
      <c r="G25" s="632">
        <v>40577</v>
      </c>
      <c r="H25" s="632">
        <v>41494</v>
      </c>
      <c r="I25" s="645">
        <v>1648</v>
      </c>
      <c r="J25" s="650" t="s">
        <v>753</v>
      </c>
      <c r="K25" s="650" t="s">
        <v>760</v>
      </c>
      <c r="L25" s="655"/>
      <c r="M25" s="655"/>
      <c r="N25" s="650">
        <f>(11336995+10252920)/1000</f>
        <v>21589.915000000001</v>
      </c>
      <c r="O25" s="655"/>
      <c r="P25" s="655"/>
      <c r="Q25" s="652" t="s">
        <v>783</v>
      </c>
      <c r="R25" s="638"/>
    </row>
    <row r="26" spans="1:18" s="639" customFormat="1" ht="45">
      <c r="A26" s="628">
        <v>19</v>
      </c>
      <c r="B26" s="648" t="s">
        <v>784</v>
      </c>
      <c r="C26" s="643" t="s">
        <v>763</v>
      </c>
      <c r="D26" s="644">
        <v>22107</v>
      </c>
      <c r="E26" s="629" t="s">
        <v>767</v>
      </c>
      <c r="F26" s="645" t="s">
        <v>196</v>
      </c>
      <c r="G26" s="632">
        <v>40967</v>
      </c>
      <c r="H26" s="632">
        <v>41962</v>
      </c>
      <c r="I26" s="645">
        <v>1648</v>
      </c>
      <c r="J26" s="650"/>
      <c r="K26" s="650"/>
      <c r="L26" s="655"/>
      <c r="M26" s="655"/>
      <c r="N26" s="650"/>
      <c r="O26" s="655"/>
      <c r="P26" s="655"/>
      <c r="Q26" s="652"/>
      <c r="R26" s="638"/>
    </row>
    <row r="27" spans="1:18" s="639" customFormat="1" ht="56.25" customHeight="1">
      <c r="A27" s="628">
        <v>20</v>
      </c>
      <c r="B27" s="648" t="s">
        <v>785</v>
      </c>
      <c r="C27" s="643" t="s">
        <v>786</v>
      </c>
      <c r="D27" s="644">
        <v>30726</v>
      </c>
      <c r="E27" s="629" t="s">
        <v>751</v>
      </c>
      <c r="F27" s="643" t="s">
        <v>787</v>
      </c>
      <c r="G27" s="632">
        <v>40504</v>
      </c>
      <c r="H27" s="632">
        <v>41157</v>
      </c>
      <c r="I27" s="649" t="s">
        <v>788</v>
      </c>
      <c r="J27" s="649" t="s">
        <v>753</v>
      </c>
      <c r="K27" s="650">
        <v>91580</v>
      </c>
      <c r="L27" s="655"/>
      <c r="M27" s="655"/>
      <c r="N27" s="650">
        <f>(1188434+7976660+4041375)/1000</f>
        <v>13206.468999999999</v>
      </c>
      <c r="O27" s="655"/>
      <c r="P27" s="655"/>
      <c r="Q27" s="656" t="s">
        <v>789</v>
      </c>
      <c r="R27" s="638"/>
    </row>
    <row r="28" spans="1:18" s="639" customFormat="1" ht="22.5">
      <c r="A28" s="628">
        <v>21</v>
      </c>
      <c r="B28" s="648" t="s">
        <v>790</v>
      </c>
      <c r="C28" s="643" t="s">
        <v>786</v>
      </c>
      <c r="D28" s="644">
        <f>(6492784+7159341+26014558+368279)/1000</f>
        <v>40034.962</v>
      </c>
      <c r="E28" s="629" t="s">
        <v>751</v>
      </c>
      <c r="F28" s="645" t="s">
        <v>196</v>
      </c>
      <c r="G28" s="632">
        <v>41044</v>
      </c>
      <c r="H28" s="632">
        <f>G28+570</f>
        <v>41614</v>
      </c>
      <c r="I28" s="649"/>
      <c r="J28" s="649"/>
      <c r="K28" s="650"/>
      <c r="L28" s="655"/>
      <c r="M28" s="655"/>
      <c r="N28" s="650"/>
      <c r="O28" s="655"/>
      <c r="P28" s="655"/>
      <c r="Q28" s="656"/>
      <c r="R28" s="638"/>
    </row>
    <row r="29" spans="1:18" s="639" customFormat="1" ht="22.5">
      <c r="A29" s="628">
        <v>22</v>
      </c>
      <c r="B29" s="648" t="s">
        <v>791</v>
      </c>
      <c r="C29" s="643" t="s">
        <v>786</v>
      </c>
      <c r="D29" s="644">
        <v>923.97199999999998</v>
      </c>
      <c r="E29" s="629" t="s">
        <v>792</v>
      </c>
      <c r="F29" s="651" t="s">
        <v>793</v>
      </c>
      <c r="G29" s="632">
        <v>40711</v>
      </c>
      <c r="H29" s="632">
        <f>G29+540</f>
        <v>41251</v>
      </c>
      <c r="I29" s="645">
        <v>1656</v>
      </c>
      <c r="J29" s="649" t="s">
        <v>759</v>
      </c>
      <c r="K29" s="649" t="s">
        <v>760</v>
      </c>
      <c r="L29" s="649"/>
      <c r="M29" s="649"/>
      <c r="N29" s="650">
        <v>628.00400000000002</v>
      </c>
      <c r="O29" s="649"/>
      <c r="P29" s="649"/>
      <c r="Q29" s="649"/>
      <c r="R29" s="638"/>
    </row>
    <row r="30" spans="1:18" s="639" customFormat="1" ht="22.5">
      <c r="A30" s="628">
        <v>23</v>
      </c>
      <c r="B30" s="648" t="s">
        <v>791</v>
      </c>
      <c r="C30" s="643" t="s">
        <v>786</v>
      </c>
      <c r="D30" s="644">
        <v>960.93100000000004</v>
      </c>
      <c r="E30" s="629" t="s">
        <v>792</v>
      </c>
      <c r="F30" s="657" t="s">
        <v>196</v>
      </c>
      <c r="G30" s="632">
        <v>41252</v>
      </c>
      <c r="H30" s="632">
        <f>G30+540</f>
        <v>41792</v>
      </c>
      <c r="I30" s="645">
        <v>1656</v>
      </c>
      <c r="J30" s="649"/>
      <c r="K30" s="649"/>
      <c r="L30" s="649"/>
      <c r="M30" s="649"/>
      <c r="N30" s="650"/>
      <c r="O30" s="649"/>
      <c r="P30" s="649"/>
      <c r="Q30" s="649"/>
      <c r="R30" s="638"/>
    </row>
    <row r="31" spans="1:18" s="639" customFormat="1" ht="22.5">
      <c r="A31" s="628">
        <v>24</v>
      </c>
      <c r="B31" s="647" t="s">
        <v>794</v>
      </c>
      <c r="C31" s="643" t="s">
        <v>795</v>
      </c>
      <c r="D31" s="644">
        <f>(267000+(339709*1.16)+825000+1400000)/1000</f>
        <v>2886.0624400000002</v>
      </c>
      <c r="E31" s="629" t="s">
        <v>792</v>
      </c>
      <c r="F31" s="657" t="s">
        <v>196</v>
      </c>
      <c r="G31" s="632">
        <v>40954</v>
      </c>
      <c r="H31" s="632">
        <v>41440</v>
      </c>
      <c r="I31" s="645">
        <v>1645</v>
      </c>
      <c r="J31" s="645" t="s">
        <v>759</v>
      </c>
      <c r="K31" s="645" t="s">
        <v>760</v>
      </c>
      <c r="L31" s="647"/>
      <c r="M31" s="647"/>
      <c r="N31" s="646">
        <f>(267000+(339709*1.16)+825000+700000)/1000</f>
        <v>2186.0624400000002</v>
      </c>
      <c r="O31" s="647"/>
      <c r="P31" s="647"/>
      <c r="Q31" s="647"/>
      <c r="R31" s="638"/>
    </row>
    <row r="32" spans="1:18" s="639" customFormat="1" ht="33.75">
      <c r="A32" s="628">
        <v>25</v>
      </c>
      <c r="B32" s="647" t="s">
        <v>796</v>
      </c>
      <c r="C32" s="643" t="s">
        <v>797</v>
      </c>
      <c r="D32" s="644">
        <v>826.56</v>
      </c>
      <c r="E32" s="629" t="s">
        <v>767</v>
      </c>
      <c r="F32" s="658" t="s">
        <v>196</v>
      </c>
      <c r="G32" s="632">
        <v>41128</v>
      </c>
      <c r="H32" s="632">
        <f>G32+18*30</f>
        <v>41668</v>
      </c>
      <c r="I32" s="645">
        <v>1663</v>
      </c>
      <c r="J32" s="645" t="s">
        <v>769</v>
      </c>
      <c r="K32" s="645">
        <v>17</v>
      </c>
      <c r="L32" s="647"/>
      <c r="M32" s="647"/>
      <c r="N32" s="646">
        <v>193</v>
      </c>
      <c r="O32" s="647"/>
      <c r="P32" s="647"/>
      <c r="Q32" s="647"/>
      <c r="R32" s="638"/>
    </row>
    <row r="33" spans="1:18" s="639" customFormat="1" ht="22.5">
      <c r="A33" s="628">
        <v>26</v>
      </c>
      <c r="B33" s="647" t="s">
        <v>798</v>
      </c>
      <c r="C33" s="643" t="s">
        <v>750</v>
      </c>
      <c r="D33" s="644">
        <v>646.55172400000004</v>
      </c>
      <c r="E33" s="629" t="s">
        <v>757</v>
      </c>
      <c r="F33" s="658" t="s">
        <v>799</v>
      </c>
      <c r="G33" s="632">
        <v>40583</v>
      </c>
      <c r="H33" s="632">
        <v>40942</v>
      </c>
      <c r="I33" s="645">
        <v>1672</v>
      </c>
      <c r="J33" s="645" t="s">
        <v>759</v>
      </c>
      <c r="K33" s="645" t="s">
        <v>760</v>
      </c>
      <c r="L33" s="647"/>
      <c r="M33" s="647"/>
      <c r="N33" s="646">
        <v>360</v>
      </c>
      <c r="O33" s="647"/>
      <c r="P33" s="647"/>
      <c r="Q33" s="647"/>
      <c r="R33" s="638"/>
    </row>
    <row r="34" spans="1:18">
      <c r="A34" s="659"/>
      <c r="B34" s="660"/>
      <c r="C34" s="661"/>
      <c r="D34" s="662"/>
      <c r="E34" s="663"/>
      <c r="F34" s="664"/>
      <c r="G34" s="665"/>
      <c r="H34" s="665"/>
      <c r="I34" s="661"/>
      <c r="J34" s="661"/>
      <c r="K34" s="666"/>
      <c r="L34" s="663"/>
      <c r="M34" s="663"/>
      <c r="N34" s="667"/>
      <c r="O34" s="663"/>
      <c r="P34" s="663"/>
      <c r="Q34" s="668"/>
      <c r="R34" s="122"/>
    </row>
    <row r="35" spans="1:18" ht="28.5">
      <c r="A35" s="625" t="s">
        <v>800</v>
      </c>
      <c r="B35" s="626"/>
      <c r="C35" s="626"/>
      <c r="D35" s="626"/>
      <c r="E35" s="626"/>
      <c r="F35" s="626"/>
      <c r="G35" s="626"/>
      <c r="H35" s="626"/>
      <c r="I35" s="626"/>
      <c r="J35" s="626"/>
      <c r="K35" s="626"/>
      <c r="L35" s="626"/>
      <c r="M35" s="626"/>
      <c r="N35" s="626"/>
      <c r="O35" s="626"/>
      <c r="P35" s="626"/>
      <c r="Q35" s="627"/>
      <c r="R35" s="122"/>
    </row>
    <row r="36" spans="1:18" s="639" customFormat="1" ht="11.25">
      <c r="A36" s="669">
        <v>1</v>
      </c>
      <c r="B36" s="670" t="s">
        <v>801</v>
      </c>
      <c r="C36" s="671" t="s">
        <v>398</v>
      </c>
      <c r="D36" s="672">
        <v>1066</v>
      </c>
      <c r="E36" s="673" t="s">
        <v>802</v>
      </c>
      <c r="F36" s="671" t="s">
        <v>803</v>
      </c>
      <c r="G36" s="671" t="s">
        <v>196</v>
      </c>
      <c r="H36" s="671" t="s">
        <v>196</v>
      </c>
      <c r="I36" s="674">
        <v>1627</v>
      </c>
      <c r="J36" s="674" t="s">
        <v>804</v>
      </c>
      <c r="K36" s="675">
        <v>342</v>
      </c>
      <c r="L36" s="676"/>
      <c r="M36" s="676"/>
      <c r="N36" s="672">
        <v>1066</v>
      </c>
      <c r="O36" s="676"/>
      <c r="P36" s="676"/>
      <c r="Q36" s="676"/>
    </row>
    <row r="37" spans="1:18" s="639" customFormat="1" ht="45">
      <c r="A37" s="677"/>
      <c r="B37" s="670"/>
      <c r="C37" s="671"/>
      <c r="D37" s="672"/>
      <c r="E37" s="678"/>
      <c r="F37" s="671"/>
      <c r="G37" s="671"/>
      <c r="H37" s="671"/>
      <c r="I37" s="674">
        <v>1910</v>
      </c>
      <c r="J37" s="674" t="s">
        <v>805</v>
      </c>
      <c r="K37" s="675">
        <v>18</v>
      </c>
      <c r="L37" s="676"/>
      <c r="M37" s="676"/>
      <c r="N37" s="672"/>
      <c r="O37" s="676"/>
      <c r="P37" s="676"/>
      <c r="Q37" s="676"/>
    </row>
    <row r="38" spans="1:18" s="639" customFormat="1" ht="22.5" customHeight="1">
      <c r="A38" s="679"/>
      <c r="B38" s="670"/>
      <c r="C38" s="671"/>
      <c r="D38" s="672"/>
      <c r="E38" s="680"/>
      <c r="F38" s="671"/>
      <c r="G38" s="671"/>
      <c r="H38" s="671"/>
      <c r="I38" s="674">
        <v>1646</v>
      </c>
      <c r="J38" s="674" t="s">
        <v>806</v>
      </c>
      <c r="K38" s="675">
        <v>5790</v>
      </c>
      <c r="L38" s="637"/>
      <c r="M38" s="637"/>
      <c r="N38" s="672"/>
      <c r="O38" s="637"/>
      <c r="P38" s="637"/>
      <c r="Q38" s="637"/>
    </row>
    <row r="39" spans="1:18" s="639" customFormat="1" ht="80.25" customHeight="1">
      <c r="A39" s="681">
        <v>2</v>
      </c>
      <c r="B39" s="682" t="s">
        <v>398</v>
      </c>
      <c r="C39" s="683" t="s">
        <v>398</v>
      </c>
      <c r="D39" s="683" t="s">
        <v>807</v>
      </c>
      <c r="E39" s="682" t="s">
        <v>808</v>
      </c>
      <c r="F39" s="684" t="s">
        <v>809</v>
      </c>
      <c r="G39" s="685">
        <v>40941</v>
      </c>
      <c r="H39" s="685">
        <v>40969</v>
      </c>
      <c r="I39" s="683">
        <v>1920</v>
      </c>
      <c r="J39" s="683" t="s">
        <v>810</v>
      </c>
      <c r="K39" s="686">
        <v>25</v>
      </c>
      <c r="L39" s="682"/>
      <c r="M39" s="682"/>
      <c r="N39" s="686">
        <v>9.4</v>
      </c>
      <c r="O39" s="682"/>
      <c r="P39" s="682"/>
      <c r="Q39" s="682" t="s">
        <v>811</v>
      </c>
    </row>
    <row r="40" spans="1:18" s="639" customFormat="1" ht="146.25">
      <c r="A40" s="681">
        <v>3</v>
      </c>
      <c r="B40" s="687" t="s">
        <v>812</v>
      </c>
      <c r="C40" s="688" t="s">
        <v>398</v>
      </c>
      <c r="D40" s="689">
        <v>300</v>
      </c>
      <c r="E40" s="682" t="s">
        <v>813</v>
      </c>
      <c r="F40" s="628" t="s">
        <v>312</v>
      </c>
      <c r="G40" s="688" t="s">
        <v>814</v>
      </c>
      <c r="H40" s="688" t="s">
        <v>815</v>
      </c>
      <c r="I40" s="688">
        <v>1300</v>
      </c>
      <c r="J40" s="688" t="s">
        <v>37</v>
      </c>
      <c r="K40" s="631" t="s">
        <v>312</v>
      </c>
      <c r="L40" s="628"/>
      <c r="M40" s="628"/>
      <c r="N40" s="689">
        <v>300</v>
      </c>
      <c r="O40" s="688"/>
      <c r="P40" s="688"/>
      <c r="Q40" s="682" t="s">
        <v>816</v>
      </c>
    </row>
    <row r="41" spans="1:18" s="639" customFormat="1" ht="67.5">
      <c r="A41" s="681">
        <v>4</v>
      </c>
      <c r="B41" s="687" t="s">
        <v>817</v>
      </c>
      <c r="C41" s="688" t="s">
        <v>398</v>
      </c>
      <c r="D41" s="689">
        <v>90</v>
      </c>
      <c r="E41" s="682" t="s">
        <v>818</v>
      </c>
      <c r="F41" s="628" t="s">
        <v>312</v>
      </c>
      <c r="G41" s="688" t="s">
        <v>819</v>
      </c>
      <c r="H41" s="688" t="s">
        <v>820</v>
      </c>
      <c r="I41" s="688">
        <v>1300</v>
      </c>
      <c r="J41" s="688" t="s">
        <v>37</v>
      </c>
      <c r="K41" s="689">
        <v>1</v>
      </c>
      <c r="L41" s="688"/>
      <c r="M41" s="688"/>
      <c r="N41" s="689">
        <v>90</v>
      </c>
      <c r="O41" s="688"/>
      <c r="P41" s="688"/>
      <c r="Q41" s="682" t="s">
        <v>821</v>
      </c>
    </row>
    <row r="42" spans="1:18" s="639" customFormat="1" ht="67.5">
      <c r="A42" s="681">
        <v>5</v>
      </c>
      <c r="B42" s="687" t="s">
        <v>822</v>
      </c>
      <c r="C42" s="688" t="s">
        <v>398</v>
      </c>
      <c r="D42" s="689">
        <v>80</v>
      </c>
      <c r="E42" s="682" t="s">
        <v>823</v>
      </c>
      <c r="F42" s="682" t="s">
        <v>824</v>
      </c>
      <c r="G42" s="688" t="s">
        <v>825</v>
      </c>
      <c r="H42" s="688" t="s">
        <v>826</v>
      </c>
      <c r="I42" s="688">
        <v>1300</v>
      </c>
      <c r="J42" s="688" t="s">
        <v>37</v>
      </c>
      <c r="K42" s="689">
        <v>4</v>
      </c>
      <c r="L42" s="688"/>
      <c r="M42" s="688"/>
      <c r="N42" s="689">
        <v>80</v>
      </c>
      <c r="O42" s="688"/>
      <c r="P42" s="688"/>
      <c r="Q42" s="676"/>
    </row>
    <row r="43" spans="1:18" s="639" customFormat="1" ht="109.5" customHeight="1">
      <c r="A43" s="681">
        <v>6</v>
      </c>
      <c r="B43" s="687" t="s">
        <v>827</v>
      </c>
      <c r="C43" s="688" t="s">
        <v>398</v>
      </c>
      <c r="D43" s="689">
        <v>40</v>
      </c>
      <c r="E43" s="682" t="s">
        <v>828</v>
      </c>
      <c r="F43" s="683" t="s">
        <v>312</v>
      </c>
      <c r="G43" s="688" t="s">
        <v>814</v>
      </c>
      <c r="H43" s="628" t="s">
        <v>312</v>
      </c>
      <c r="I43" s="688">
        <v>1300</v>
      </c>
      <c r="J43" s="628" t="s">
        <v>829</v>
      </c>
      <c r="K43" s="631" t="s">
        <v>312</v>
      </c>
      <c r="L43" s="628"/>
      <c r="M43" s="688"/>
      <c r="N43" s="689">
        <v>40</v>
      </c>
      <c r="O43" s="688"/>
      <c r="P43" s="688"/>
      <c r="Q43" s="682" t="s">
        <v>830</v>
      </c>
    </row>
    <row r="44" spans="1:18" s="639" customFormat="1" ht="56.25">
      <c r="A44" s="681">
        <v>7</v>
      </c>
      <c r="B44" s="687" t="s">
        <v>831</v>
      </c>
      <c r="C44" s="688" t="s">
        <v>398</v>
      </c>
      <c r="D44" s="689">
        <v>150</v>
      </c>
      <c r="E44" s="682" t="s">
        <v>832</v>
      </c>
      <c r="F44" s="683" t="s">
        <v>833</v>
      </c>
      <c r="G44" s="632">
        <v>40868</v>
      </c>
      <c r="H44" s="688" t="s">
        <v>826</v>
      </c>
      <c r="I44" s="688">
        <v>1300</v>
      </c>
      <c r="J44" s="688" t="s">
        <v>37</v>
      </c>
      <c r="K44" s="689">
        <v>3</v>
      </c>
      <c r="L44" s="688"/>
      <c r="M44" s="688"/>
      <c r="N44" s="689">
        <v>150</v>
      </c>
      <c r="O44" s="688"/>
      <c r="P44" s="688"/>
      <c r="Q44" s="676"/>
    </row>
    <row r="45" spans="1:18" s="639" customFormat="1" ht="90">
      <c r="A45" s="681">
        <v>8</v>
      </c>
      <c r="B45" s="687" t="s">
        <v>834</v>
      </c>
      <c r="C45" s="628" t="s">
        <v>398</v>
      </c>
      <c r="D45" s="689">
        <f>324918600/1000000</f>
        <v>324.91860000000003</v>
      </c>
      <c r="E45" s="682" t="s">
        <v>835</v>
      </c>
      <c r="F45" s="682" t="s">
        <v>836</v>
      </c>
      <c r="G45" s="632">
        <v>40868</v>
      </c>
      <c r="H45" s="633">
        <v>41246</v>
      </c>
      <c r="I45" s="688">
        <v>1300</v>
      </c>
      <c r="J45" s="688" t="s">
        <v>837</v>
      </c>
      <c r="K45" s="689">
        <v>4</v>
      </c>
      <c r="L45" s="688"/>
      <c r="M45" s="628"/>
      <c r="N45" s="689">
        <v>227.4</v>
      </c>
      <c r="O45" s="690"/>
      <c r="P45" s="628"/>
      <c r="Q45" s="637"/>
    </row>
    <row r="46" spans="1:18">
      <c r="A46" s="691"/>
      <c r="B46" s="692"/>
      <c r="C46" s="693"/>
      <c r="D46" s="694"/>
      <c r="E46" s="695"/>
      <c r="F46" s="695"/>
      <c r="G46" s="696"/>
      <c r="H46" s="696"/>
      <c r="I46" s="697"/>
      <c r="J46" s="697"/>
      <c r="K46" s="697"/>
      <c r="L46" s="697"/>
      <c r="M46" s="698"/>
      <c r="N46" s="694"/>
      <c r="O46" s="694"/>
      <c r="P46" s="698"/>
      <c r="Q46" s="699"/>
    </row>
    <row r="47" spans="1:18" ht="28.5">
      <c r="A47" s="625" t="s">
        <v>838</v>
      </c>
      <c r="B47" s="626"/>
      <c r="C47" s="626"/>
      <c r="D47" s="626"/>
      <c r="E47" s="626"/>
      <c r="F47" s="626"/>
      <c r="G47" s="626"/>
      <c r="H47" s="626"/>
      <c r="I47" s="626"/>
      <c r="J47" s="626"/>
      <c r="K47" s="626"/>
      <c r="L47" s="626"/>
      <c r="M47" s="626"/>
      <c r="N47" s="626"/>
      <c r="O47" s="626"/>
      <c r="P47" s="626"/>
      <c r="Q47" s="627"/>
    </row>
    <row r="48" spans="1:18" s="639" customFormat="1" ht="33.75">
      <c r="A48" s="645">
        <v>1</v>
      </c>
      <c r="B48" s="700" t="s">
        <v>839</v>
      </c>
      <c r="C48" s="701" t="s">
        <v>671</v>
      </c>
      <c r="D48" s="702">
        <f>814+147</f>
        <v>961</v>
      </c>
      <c r="E48" s="700" t="s">
        <v>840</v>
      </c>
      <c r="F48" s="701" t="s">
        <v>841</v>
      </c>
      <c r="G48" s="632">
        <v>40737</v>
      </c>
      <c r="H48" s="632">
        <v>41157</v>
      </c>
      <c r="I48" s="701">
        <v>1627</v>
      </c>
      <c r="J48" s="701" t="s">
        <v>840</v>
      </c>
      <c r="K48" s="701" t="s">
        <v>312</v>
      </c>
      <c r="L48" s="701"/>
      <c r="M48" s="701"/>
      <c r="N48" s="703">
        <v>814.41499999999996</v>
      </c>
      <c r="O48" s="704"/>
      <c r="P48" s="704"/>
      <c r="Q48" s="704"/>
    </row>
    <row r="49" spans="1:17" s="639" customFormat="1" ht="11.25">
      <c r="A49" s="681"/>
      <c r="B49" s="705" t="s">
        <v>842</v>
      </c>
      <c r="C49" s="705"/>
      <c r="D49" s="706"/>
      <c r="E49" s="707"/>
      <c r="F49" s="708"/>
      <c r="G49" s="709"/>
      <c r="H49" s="709"/>
      <c r="I49" s="708"/>
      <c r="J49" s="708"/>
      <c r="K49" s="708"/>
      <c r="L49" s="708"/>
      <c r="M49" s="708"/>
      <c r="N49" s="706">
        <f>N48</f>
        <v>814.41499999999996</v>
      </c>
      <c r="O49" s="707"/>
      <c r="P49" s="707"/>
      <c r="Q49" s="707"/>
    </row>
    <row r="50" spans="1:17" s="639" customFormat="1" ht="22.5">
      <c r="A50" s="681">
        <v>2</v>
      </c>
      <c r="B50" s="700" t="s">
        <v>843</v>
      </c>
      <c r="C50" s="701" t="s">
        <v>671</v>
      </c>
      <c r="D50" s="702">
        <f>8600+508</f>
        <v>9108</v>
      </c>
      <c r="E50" s="700" t="s">
        <v>844</v>
      </c>
      <c r="F50" s="643" t="s">
        <v>196</v>
      </c>
      <c r="G50" s="632">
        <v>40998</v>
      </c>
      <c r="H50" s="632">
        <v>41207</v>
      </c>
      <c r="I50" s="701">
        <v>1611</v>
      </c>
      <c r="J50" s="701" t="s">
        <v>759</v>
      </c>
      <c r="K50" s="701" t="s">
        <v>312</v>
      </c>
      <c r="L50" s="701"/>
      <c r="M50" s="701"/>
      <c r="N50" s="703">
        <v>5635.64</v>
      </c>
      <c r="O50" s="704"/>
      <c r="P50" s="704"/>
      <c r="Q50" s="704"/>
    </row>
    <row r="51" spans="1:17" s="639" customFormat="1" ht="11.25">
      <c r="A51" s="681">
        <v>3</v>
      </c>
      <c r="B51" s="710" t="s">
        <v>845</v>
      </c>
      <c r="C51" s="701" t="s">
        <v>671</v>
      </c>
      <c r="D51" s="702">
        <f>531+8781</f>
        <v>9312</v>
      </c>
      <c r="E51" s="700" t="s">
        <v>751</v>
      </c>
      <c r="F51" s="643" t="s">
        <v>846</v>
      </c>
      <c r="G51" s="632">
        <v>40848</v>
      </c>
      <c r="H51" s="632">
        <f>G51+180-1</f>
        <v>41027</v>
      </c>
      <c r="I51" s="701">
        <v>1611</v>
      </c>
      <c r="J51" s="701" t="s">
        <v>759</v>
      </c>
      <c r="K51" s="701" t="s">
        <v>312</v>
      </c>
      <c r="L51" s="701"/>
      <c r="M51" s="701"/>
      <c r="N51" s="703">
        <v>827.43399999999997</v>
      </c>
      <c r="O51" s="704"/>
      <c r="P51" s="704"/>
      <c r="Q51" s="704"/>
    </row>
    <row r="52" spans="1:17" s="639" customFormat="1" ht="11.25">
      <c r="A52" s="711">
        <v>4</v>
      </c>
      <c r="B52" s="712" t="s">
        <v>847</v>
      </c>
      <c r="C52" s="713" t="s">
        <v>671</v>
      </c>
      <c r="D52" s="714">
        <f>18526+5898</f>
        <v>24424</v>
      </c>
      <c r="E52" s="700" t="s">
        <v>848</v>
      </c>
      <c r="F52" s="643" t="s">
        <v>849</v>
      </c>
      <c r="G52" s="632">
        <v>40808</v>
      </c>
      <c r="H52" s="632">
        <v>40937</v>
      </c>
      <c r="I52" s="701" t="s">
        <v>850</v>
      </c>
      <c r="J52" s="701" t="s">
        <v>759</v>
      </c>
      <c r="K52" s="701" t="s">
        <v>312</v>
      </c>
      <c r="L52" s="701"/>
      <c r="M52" s="701"/>
      <c r="N52" s="703">
        <v>18144.768</v>
      </c>
      <c r="O52" s="704"/>
      <c r="P52" s="704"/>
      <c r="Q52" s="704"/>
    </row>
    <row r="53" spans="1:17" s="639" customFormat="1" ht="11.25">
      <c r="A53" s="711"/>
      <c r="B53" s="712"/>
      <c r="C53" s="713"/>
      <c r="D53" s="714"/>
      <c r="E53" s="700" t="s">
        <v>844</v>
      </c>
      <c r="F53" s="643" t="s">
        <v>196</v>
      </c>
      <c r="G53" s="632">
        <v>40966</v>
      </c>
      <c r="H53" s="632">
        <v>41175</v>
      </c>
      <c r="I53" s="701">
        <v>1611</v>
      </c>
      <c r="J53" s="701" t="s">
        <v>759</v>
      </c>
      <c r="K53" s="701" t="s">
        <v>312</v>
      </c>
      <c r="L53" s="701"/>
      <c r="M53" s="701"/>
      <c r="N53" s="703">
        <v>0</v>
      </c>
      <c r="O53" s="704"/>
      <c r="P53" s="704"/>
      <c r="Q53" s="704"/>
    </row>
    <row r="54" spans="1:17" s="639" customFormat="1" ht="11.25">
      <c r="A54" s="711"/>
      <c r="B54" s="712"/>
      <c r="C54" s="713"/>
      <c r="D54" s="714"/>
      <c r="E54" s="700" t="s">
        <v>851</v>
      </c>
      <c r="F54" s="643" t="s">
        <v>196</v>
      </c>
      <c r="G54" s="632">
        <f>G53-30</f>
        <v>40936</v>
      </c>
      <c r="H54" s="632">
        <f>H53+60</f>
        <v>41235</v>
      </c>
      <c r="I54" s="701">
        <v>1611</v>
      </c>
      <c r="J54" s="701" t="s">
        <v>759</v>
      </c>
      <c r="K54" s="701" t="s">
        <v>312</v>
      </c>
      <c r="L54" s="701"/>
      <c r="M54" s="701"/>
      <c r="N54" s="703">
        <v>0</v>
      </c>
      <c r="O54" s="704"/>
      <c r="P54" s="704"/>
      <c r="Q54" s="704"/>
    </row>
    <row r="55" spans="1:17" s="639" customFormat="1" ht="11.25">
      <c r="A55" s="711">
        <v>5</v>
      </c>
      <c r="B55" s="712" t="s">
        <v>852</v>
      </c>
      <c r="C55" s="713" t="s">
        <v>853</v>
      </c>
      <c r="D55" s="714">
        <f>43756+2285</f>
        <v>46041</v>
      </c>
      <c r="E55" s="700" t="s">
        <v>848</v>
      </c>
      <c r="F55" s="643" t="s">
        <v>196</v>
      </c>
      <c r="G55" s="632">
        <v>41135</v>
      </c>
      <c r="H55" s="632">
        <f>G55+240-1</f>
        <v>41374</v>
      </c>
      <c r="I55" s="701" t="s">
        <v>850</v>
      </c>
      <c r="J55" s="701" t="s">
        <v>759</v>
      </c>
      <c r="K55" s="701" t="s">
        <v>312</v>
      </c>
      <c r="L55" s="701"/>
      <c r="M55" s="701"/>
      <c r="N55" s="703">
        <v>4068.4169999999999</v>
      </c>
      <c r="O55" s="704"/>
      <c r="P55" s="704"/>
      <c r="Q55" s="704"/>
    </row>
    <row r="56" spans="1:17" s="639" customFormat="1" ht="11.25">
      <c r="A56" s="711"/>
      <c r="B56" s="715"/>
      <c r="C56" s="713"/>
      <c r="D56" s="714"/>
      <c r="E56" s="700" t="s">
        <v>844</v>
      </c>
      <c r="F56" s="643" t="s">
        <v>196</v>
      </c>
      <c r="G56" s="632">
        <v>41135</v>
      </c>
      <c r="H56" s="632">
        <f>G56+330-1</f>
        <v>41464</v>
      </c>
      <c r="I56" s="701">
        <v>1611</v>
      </c>
      <c r="J56" s="701" t="s">
        <v>759</v>
      </c>
      <c r="K56" s="701" t="s">
        <v>312</v>
      </c>
      <c r="L56" s="701"/>
      <c r="M56" s="701"/>
      <c r="N56" s="703">
        <v>4253.3440000000001</v>
      </c>
      <c r="O56" s="704"/>
      <c r="P56" s="704"/>
      <c r="Q56" s="704"/>
    </row>
    <row r="57" spans="1:17" s="639" customFormat="1" ht="11.25">
      <c r="A57" s="711"/>
      <c r="B57" s="715"/>
      <c r="C57" s="713"/>
      <c r="D57" s="714"/>
      <c r="E57" s="700" t="s">
        <v>851</v>
      </c>
      <c r="F57" s="643" t="s">
        <v>196</v>
      </c>
      <c r="G57" s="632">
        <v>41135</v>
      </c>
      <c r="H57" s="632">
        <f>H56+60-1</f>
        <v>41523</v>
      </c>
      <c r="I57" s="701">
        <v>1611</v>
      </c>
      <c r="J57" s="701" t="s">
        <v>759</v>
      </c>
      <c r="K57" s="701" t="s">
        <v>312</v>
      </c>
      <c r="L57" s="701"/>
      <c r="M57" s="701"/>
      <c r="N57" s="703">
        <v>924.64</v>
      </c>
      <c r="O57" s="704"/>
      <c r="P57" s="704"/>
      <c r="Q57" s="704"/>
    </row>
    <row r="58" spans="1:17" s="639" customFormat="1" ht="11.25">
      <c r="A58" s="681"/>
      <c r="B58" s="716" t="s">
        <v>842</v>
      </c>
      <c r="C58" s="716"/>
      <c r="D58" s="717"/>
      <c r="E58" s="718"/>
      <c r="F58" s="719"/>
      <c r="G58" s="720"/>
      <c r="H58" s="720"/>
      <c r="I58" s="719"/>
      <c r="J58" s="719"/>
      <c r="K58" s="719"/>
      <c r="L58" s="719"/>
      <c r="M58" s="719"/>
      <c r="N58" s="717">
        <f>SUM(N50:N57)</f>
        <v>33854.243000000002</v>
      </c>
      <c r="O58" s="718"/>
      <c r="P58" s="718"/>
      <c r="Q58" s="718"/>
    </row>
    <row r="59" spans="1:17" s="639" customFormat="1" ht="11.25">
      <c r="A59" s="681">
        <v>6</v>
      </c>
      <c r="B59" s="700" t="s">
        <v>854</v>
      </c>
      <c r="C59" s="701" t="s">
        <v>855</v>
      </c>
      <c r="D59" s="702">
        <f>N59</f>
        <v>2813.5970000000002</v>
      </c>
      <c r="E59" s="700" t="s">
        <v>751</v>
      </c>
      <c r="F59" s="643" t="s">
        <v>856</v>
      </c>
      <c r="G59" s="632">
        <v>40945</v>
      </c>
      <c r="H59" s="632">
        <f>G59+365-1</f>
        <v>41309</v>
      </c>
      <c r="I59" s="701">
        <v>1619</v>
      </c>
      <c r="J59" s="701" t="s">
        <v>759</v>
      </c>
      <c r="K59" s="701" t="s">
        <v>312</v>
      </c>
      <c r="L59" s="701"/>
      <c r="M59" s="701"/>
      <c r="N59" s="703">
        <v>2813.5970000000002</v>
      </c>
      <c r="O59" s="704"/>
      <c r="P59" s="704"/>
      <c r="Q59" s="704"/>
    </row>
    <row r="60" spans="1:17" s="639" customFormat="1" ht="11.25">
      <c r="A60" s="681"/>
      <c r="B60" s="716" t="s">
        <v>842</v>
      </c>
      <c r="C60" s="716"/>
      <c r="D60" s="717"/>
      <c r="E60" s="718"/>
      <c r="F60" s="719"/>
      <c r="G60" s="720"/>
      <c r="H60" s="720"/>
      <c r="I60" s="719"/>
      <c r="J60" s="719"/>
      <c r="K60" s="719"/>
      <c r="L60" s="719"/>
      <c r="M60" s="719"/>
      <c r="N60" s="717">
        <f>N59</f>
        <v>2813.5970000000002</v>
      </c>
      <c r="O60" s="718"/>
      <c r="P60" s="718"/>
      <c r="Q60" s="718"/>
    </row>
    <row r="61" spans="1:17" s="639" customFormat="1" ht="11.25">
      <c r="A61" s="711">
        <v>7</v>
      </c>
      <c r="B61" s="712" t="s">
        <v>857</v>
      </c>
      <c r="C61" s="713" t="s">
        <v>855</v>
      </c>
      <c r="D61" s="714">
        <f>N61+N62</f>
        <v>1551.75</v>
      </c>
      <c r="E61" s="642" t="s">
        <v>848</v>
      </c>
      <c r="F61" s="643" t="s">
        <v>196</v>
      </c>
      <c r="G61" s="632">
        <v>41061</v>
      </c>
      <c r="H61" s="632">
        <v>41244</v>
      </c>
      <c r="I61" s="701" t="s">
        <v>850</v>
      </c>
      <c r="J61" s="701" t="s">
        <v>759</v>
      </c>
      <c r="K61" s="701" t="s">
        <v>312</v>
      </c>
      <c r="L61" s="701"/>
      <c r="M61" s="701"/>
      <c r="N61" s="703">
        <v>1427.61</v>
      </c>
      <c r="O61" s="704"/>
      <c r="P61" s="704"/>
      <c r="Q61" s="704"/>
    </row>
    <row r="62" spans="1:17" s="639" customFormat="1" ht="11.25">
      <c r="A62" s="711"/>
      <c r="B62" s="715"/>
      <c r="C62" s="713"/>
      <c r="D62" s="714"/>
      <c r="E62" s="642" t="s">
        <v>858</v>
      </c>
      <c r="F62" s="643" t="s">
        <v>196</v>
      </c>
      <c r="G62" s="632">
        <v>41061</v>
      </c>
      <c r="H62" s="632">
        <v>41244</v>
      </c>
      <c r="I62" s="701" t="s">
        <v>859</v>
      </c>
      <c r="J62" s="701" t="s">
        <v>759</v>
      </c>
      <c r="K62" s="701" t="s">
        <v>312</v>
      </c>
      <c r="L62" s="701"/>
      <c r="M62" s="701"/>
      <c r="N62" s="703">
        <v>124.14</v>
      </c>
      <c r="O62" s="704"/>
      <c r="P62" s="704"/>
      <c r="Q62" s="704"/>
    </row>
    <row r="63" spans="1:17" s="639" customFormat="1" ht="11.25">
      <c r="A63" s="711">
        <v>8</v>
      </c>
      <c r="B63" s="712" t="s">
        <v>860</v>
      </c>
      <c r="C63" s="713" t="s">
        <v>855</v>
      </c>
      <c r="D63" s="714">
        <f>N63+N64</f>
        <v>3768.6690000000003</v>
      </c>
      <c r="E63" s="700" t="s">
        <v>848</v>
      </c>
      <c r="F63" s="643" t="s">
        <v>196</v>
      </c>
      <c r="G63" s="632">
        <v>41169</v>
      </c>
      <c r="H63" s="632">
        <v>41258</v>
      </c>
      <c r="I63" s="701" t="s">
        <v>850</v>
      </c>
      <c r="J63" s="701" t="s">
        <v>759</v>
      </c>
      <c r="K63" s="701" t="s">
        <v>312</v>
      </c>
      <c r="L63" s="701"/>
      <c r="M63" s="701"/>
      <c r="N63" s="703">
        <v>3467.1750000000002</v>
      </c>
      <c r="O63" s="704"/>
      <c r="P63" s="704"/>
      <c r="Q63" s="704"/>
    </row>
    <row r="64" spans="1:17" s="639" customFormat="1" ht="11.25">
      <c r="A64" s="711"/>
      <c r="B64" s="715"/>
      <c r="C64" s="713"/>
      <c r="D64" s="714"/>
      <c r="E64" s="700" t="s">
        <v>858</v>
      </c>
      <c r="F64" s="643" t="s">
        <v>196</v>
      </c>
      <c r="G64" s="632">
        <v>41083</v>
      </c>
      <c r="H64" s="632">
        <v>41262</v>
      </c>
      <c r="I64" s="701" t="s">
        <v>859</v>
      </c>
      <c r="J64" s="701" t="s">
        <v>759</v>
      </c>
      <c r="K64" s="701" t="s">
        <v>312</v>
      </c>
      <c r="L64" s="701"/>
      <c r="M64" s="701"/>
      <c r="N64" s="703">
        <v>301.49400000000003</v>
      </c>
      <c r="O64" s="704"/>
      <c r="P64" s="704"/>
      <c r="Q64" s="704"/>
    </row>
    <row r="65" spans="1:17" s="639" customFormat="1" ht="11.25">
      <c r="A65" s="681">
        <v>9</v>
      </c>
      <c r="B65" s="700" t="s">
        <v>861</v>
      </c>
      <c r="C65" s="701" t="s">
        <v>671</v>
      </c>
      <c r="D65" s="702">
        <v>2504</v>
      </c>
      <c r="E65" s="700" t="s">
        <v>751</v>
      </c>
      <c r="F65" s="643" t="s">
        <v>862</v>
      </c>
      <c r="G65" s="632">
        <v>40882</v>
      </c>
      <c r="H65" s="632">
        <f>G65+150-1</f>
        <v>41031</v>
      </c>
      <c r="I65" s="701">
        <v>1611</v>
      </c>
      <c r="J65" s="701" t="s">
        <v>863</v>
      </c>
      <c r="K65" s="702">
        <v>450</v>
      </c>
      <c r="L65" s="701"/>
      <c r="M65" s="701"/>
      <c r="N65" s="703">
        <v>900</v>
      </c>
      <c r="O65" s="704"/>
      <c r="P65" s="704"/>
      <c r="Q65" s="704"/>
    </row>
    <row r="66" spans="1:17" s="639" customFormat="1" ht="22.5">
      <c r="A66" s="681">
        <v>10</v>
      </c>
      <c r="B66" s="700" t="s">
        <v>864</v>
      </c>
      <c r="C66" s="701" t="s">
        <v>855</v>
      </c>
      <c r="D66" s="702">
        <f>N66</f>
        <v>103.45</v>
      </c>
      <c r="E66" s="700" t="s">
        <v>848</v>
      </c>
      <c r="F66" s="643" t="s">
        <v>196</v>
      </c>
      <c r="G66" s="632">
        <v>41141</v>
      </c>
      <c r="H66" s="632">
        <v>41260</v>
      </c>
      <c r="I66" s="701" t="s">
        <v>850</v>
      </c>
      <c r="J66" s="701" t="s">
        <v>759</v>
      </c>
      <c r="K66" s="701" t="s">
        <v>312</v>
      </c>
      <c r="L66" s="701"/>
      <c r="M66" s="701"/>
      <c r="N66" s="703">
        <v>103.45</v>
      </c>
      <c r="O66" s="704"/>
      <c r="P66" s="704"/>
      <c r="Q66" s="704"/>
    </row>
    <row r="67" spans="1:17" s="639" customFormat="1" ht="11.25">
      <c r="A67" s="681"/>
      <c r="B67" s="716" t="s">
        <v>842</v>
      </c>
      <c r="C67" s="716"/>
      <c r="D67" s="717"/>
      <c r="E67" s="718"/>
      <c r="F67" s="719"/>
      <c r="G67" s="720"/>
      <c r="H67" s="720"/>
      <c r="I67" s="719"/>
      <c r="J67" s="719"/>
      <c r="K67" s="719"/>
      <c r="L67" s="719"/>
      <c r="M67" s="719"/>
      <c r="N67" s="717">
        <f>SUM(N61:N66)</f>
        <v>6323.8689999999997</v>
      </c>
      <c r="O67" s="718"/>
      <c r="P67" s="718"/>
      <c r="Q67" s="718"/>
    </row>
    <row r="68" spans="1:17" s="639" customFormat="1" ht="11.25">
      <c r="A68" s="681">
        <v>11</v>
      </c>
      <c r="B68" s="700" t="s">
        <v>865</v>
      </c>
      <c r="C68" s="701" t="s">
        <v>671</v>
      </c>
      <c r="D68" s="702">
        <f>1730+3209</f>
        <v>4939</v>
      </c>
      <c r="E68" s="700" t="s">
        <v>751</v>
      </c>
      <c r="F68" s="643" t="s">
        <v>866</v>
      </c>
      <c r="G68" s="632">
        <v>40791</v>
      </c>
      <c r="H68" s="632">
        <f>G68+540-1</f>
        <v>41330</v>
      </c>
      <c r="I68" s="701">
        <v>1611</v>
      </c>
      <c r="J68" s="701" t="s">
        <v>759</v>
      </c>
      <c r="K68" s="701" t="s">
        <v>312</v>
      </c>
      <c r="L68" s="701"/>
      <c r="M68" s="701"/>
      <c r="N68" s="703">
        <v>1629.8910000000001</v>
      </c>
      <c r="O68" s="704"/>
      <c r="P68" s="704"/>
      <c r="Q68" s="704"/>
    </row>
    <row r="69" spans="1:17" s="639" customFormat="1" ht="11.25">
      <c r="A69" s="711">
        <v>12</v>
      </c>
      <c r="B69" s="712" t="s">
        <v>864</v>
      </c>
      <c r="C69" s="713" t="s">
        <v>855</v>
      </c>
      <c r="D69" s="714">
        <f>396+N69+N70</f>
        <v>1330.567</v>
      </c>
      <c r="E69" s="700" t="s">
        <v>848</v>
      </c>
      <c r="F69" s="643" t="s">
        <v>196</v>
      </c>
      <c r="G69" s="632">
        <v>41097</v>
      </c>
      <c r="H69" s="632">
        <v>41226</v>
      </c>
      <c r="I69" s="701" t="s">
        <v>850</v>
      </c>
      <c r="J69" s="701" t="s">
        <v>759</v>
      </c>
      <c r="K69" s="701" t="s">
        <v>312</v>
      </c>
      <c r="L69" s="701"/>
      <c r="M69" s="701"/>
      <c r="N69" s="703">
        <v>34.536999999999999</v>
      </c>
      <c r="O69" s="704"/>
      <c r="P69" s="704"/>
      <c r="Q69" s="704"/>
    </row>
    <row r="70" spans="1:17" s="639" customFormat="1" ht="11.25">
      <c r="A70" s="711"/>
      <c r="B70" s="715"/>
      <c r="C70" s="713"/>
      <c r="D70" s="714"/>
      <c r="E70" s="700" t="s">
        <v>751</v>
      </c>
      <c r="F70" s="643" t="s">
        <v>867</v>
      </c>
      <c r="G70" s="632">
        <v>40889</v>
      </c>
      <c r="H70" s="632">
        <f>G70+210</f>
        <v>41099</v>
      </c>
      <c r="I70" s="701">
        <v>1611</v>
      </c>
      <c r="J70" s="701" t="s">
        <v>759</v>
      </c>
      <c r="K70" s="701" t="s">
        <v>312</v>
      </c>
      <c r="L70" s="701"/>
      <c r="M70" s="701"/>
      <c r="N70" s="703">
        <v>900.03</v>
      </c>
      <c r="O70" s="704"/>
      <c r="P70" s="704"/>
      <c r="Q70" s="704"/>
    </row>
    <row r="71" spans="1:17" s="639" customFormat="1" ht="11.25">
      <c r="A71" s="711">
        <v>13</v>
      </c>
      <c r="B71" s="712" t="s">
        <v>868</v>
      </c>
      <c r="C71" s="713" t="s">
        <v>671</v>
      </c>
      <c r="D71" s="714">
        <f>N71+N72+N73+2683+297</f>
        <v>8698.8169999999991</v>
      </c>
      <c r="E71" s="700" t="s">
        <v>848</v>
      </c>
      <c r="F71" s="643" t="s">
        <v>196</v>
      </c>
      <c r="G71" s="632">
        <v>41080</v>
      </c>
      <c r="H71" s="632">
        <v>41273</v>
      </c>
      <c r="I71" s="701" t="s">
        <v>850</v>
      </c>
      <c r="J71" s="701" t="s">
        <v>759</v>
      </c>
      <c r="K71" s="701" t="s">
        <v>312</v>
      </c>
      <c r="L71" s="701"/>
      <c r="M71" s="701"/>
      <c r="N71" s="703">
        <v>2066.5819999999999</v>
      </c>
      <c r="O71" s="704"/>
      <c r="P71" s="704"/>
      <c r="Q71" s="704"/>
    </row>
    <row r="72" spans="1:17" s="639" customFormat="1" ht="22.5">
      <c r="A72" s="711"/>
      <c r="B72" s="715"/>
      <c r="C72" s="713"/>
      <c r="D72" s="714"/>
      <c r="E72" s="700" t="s">
        <v>751</v>
      </c>
      <c r="F72" s="643" t="s">
        <v>869</v>
      </c>
      <c r="G72" s="632">
        <v>40886</v>
      </c>
      <c r="H72" s="632">
        <v>41017</v>
      </c>
      <c r="I72" s="701">
        <v>1611</v>
      </c>
      <c r="J72" s="701" t="s">
        <v>863</v>
      </c>
      <c r="K72" s="702">
        <v>80</v>
      </c>
      <c r="L72" s="701"/>
      <c r="M72" s="701"/>
      <c r="N72" s="703">
        <v>723.46600000000001</v>
      </c>
      <c r="O72" s="704"/>
      <c r="P72" s="704"/>
      <c r="Q72" s="704"/>
    </row>
    <row r="73" spans="1:17" s="639" customFormat="1" ht="11.25">
      <c r="A73" s="711"/>
      <c r="B73" s="715"/>
      <c r="C73" s="713"/>
      <c r="D73" s="714"/>
      <c r="E73" s="700" t="s">
        <v>840</v>
      </c>
      <c r="F73" s="643" t="s">
        <v>196</v>
      </c>
      <c r="G73" s="632">
        <v>41063</v>
      </c>
      <c r="H73" s="632">
        <v>41272</v>
      </c>
      <c r="I73" s="701">
        <v>1630</v>
      </c>
      <c r="J73" s="701" t="s">
        <v>840</v>
      </c>
      <c r="K73" s="701" t="s">
        <v>312</v>
      </c>
      <c r="L73" s="701"/>
      <c r="M73" s="701"/>
      <c r="N73" s="703">
        <v>2928.7689999999998</v>
      </c>
      <c r="O73" s="704"/>
      <c r="P73" s="704"/>
      <c r="Q73" s="704"/>
    </row>
    <row r="74" spans="1:17" s="639" customFormat="1" ht="22.5">
      <c r="A74" s="681">
        <v>14</v>
      </c>
      <c r="B74" s="700" t="s">
        <v>870</v>
      </c>
      <c r="C74" s="681" t="s">
        <v>855</v>
      </c>
      <c r="D74" s="702">
        <f>N74</f>
        <v>1299.692</v>
      </c>
      <c r="E74" s="700" t="s">
        <v>848</v>
      </c>
      <c r="F74" s="643" t="s">
        <v>196</v>
      </c>
      <c r="G74" s="632">
        <v>41182</v>
      </c>
      <c r="H74" s="632">
        <v>41271</v>
      </c>
      <c r="I74" s="701" t="s">
        <v>850</v>
      </c>
      <c r="J74" s="701" t="s">
        <v>759</v>
      </c>
      <c r="K74" s="701" t="s">
        <v>312</v>
      </c>
      <c r="L74" s="701"/>
      <c r="M74" s="701"/>
      <c r="N74" s="703">
        <v>1299.692</v>
      </c>
      <c r="O74" s="704"/>
      <c r="P74" s="704"/>
      <c r="Q74" s="704"/>
    </row>
    <row r="75" spans="1:17" s="639" customFormat="1" ht="11.25">
      <c r="A75" s="711">
        <v>15</v>
      </c>
      <c r="B75" s="712" t="s">
        <v>871</v>
      </c>
      <c r="C75" s="713" t="s">
        <v>855</v>
      </c>
      <c r="D75" s="714">
        <f>N75+N76</f>
        <v>755.21600000000001</v>
      </c>
      <c r="E75" s="642" t="s">
        <v>848</v>
      </c>
      <c r="F75" s="643" t="s">
        <v>196</v>
      </c>
      <c r="G75" s="632">
        <v>41125</v>
      </c>
      <c r="H75" s="632">
        <v>41273</v>
      </c>
      <c r="I75" s="701" t="s">
        <v>850</v>
      </c>
      <c r="J75" s="701" t="s">
        <v>759</v>
      </c>
      <c r="K75" s="701" t="s">
        <v>312</v>
      </c>
      <c r="L75" s="701"/>
      <c r="M75" s="701"/>
      <c r="N75" s="703">
        <v>694.79899999999998</v>
      </c>
      <c r="O75" s="704"/>
      <c r="P75" s="704"/>
      <c r="Q75" s="704"/>
    </row>
    <row r="76" spans="1:17" s="639" customFormat="1" ht="11.25">
      <c r="A76" s="711"/>
      <c r="B76" s="715"/>
      <c r="C76" s="713"/>
      <c r="D76" s="714"/>
      <c r="E76" s="642" t="s">
        <v>858</v>
      </c>
      <c r="F76" s="643" t="s">
        <v>196</v>
      </c>
      <c r="G76" s="632">
        <v>41125</v>
      </c>
      <c r="H76" s="632">
        <v>41273</v>
      </c>
      <c r="I76" s="701" t="s">
        <v>859</v>
      </c>
      <c r="J76" s="701" t="s">
        <v>759</v>
      </c>
      <c r="K76" s="701" t="s">
        <v>312</v>
      </c>
      <c r="L76" s="701"/>
      <c r="M76" s="701"/>
      <c r="N76" s="703">
        <v>60.417000000000002</v>
      </c>
      <c r="O76" s="704"/>
      <c r="P76" s="704"/>
      <c r="Q76" s="704"/>
    </row>
    <row r="77" spans="1:17" s="639" customFormat="1" ht="11.25">
      <c r="A77" s="681"/>
      <c r="B77" s="716" t="s">
        <v>842</v>
      </c>
      <c r="C77" s="716"/>
      <c r="D77" s="717"/>
      <c r="E77" s="718"/>
      <c r="F77" s="719"/>
      <c r="G77" s="720"/>
      <c r="H77" s="720"/>
      <c r="I77" s="719"/>
      <c r="J77" s="719"/>
      <c r="K77" s="719"/>
      <c r="L77" s="719"/>
      <c r="M77" s="719"/>
      <c r="N77" s="717">
        <f>SUM(N68:N76)</f>
        <v>10338.182999999999</v>
      </c>
      <c r="O77" s="718"/>
      <c r="P77" s="718"/>
      <c r="Q77" s="718"/>
    </row>
    <row r="78" spans="1:17" s="639" customFormat="1" ht="33.75">
      <c r="A78" s="681">
        <v>16</v>
      </c>
      <c r="B78" s="700" t="s">
        <v>872</v>
      </c>
      <c r="C78" s="701" t="s">
        <v>855</v>
      </c>
      <c r="D78" s="631">
        <f>N78</f>
        <v>7243.9769999999999</v>
      </c>
      <c r="E78" s="700" t="s">
        <v>751</v>
      </c>
      <c r="F78" s="701" t="s">
        <v>773</v>
      </c>
      <c r="G78" s="632">
        <v>40665</v>
      </c>
      <c r="H78" s="632">
        <v>41326</v>
      </c>
      <c r="I78" s="701">
        <v>1657</v>
      </c>
      <c r="J78" s="701" t="s">
        <v>863</v>
      </c>
      <c r="K78" s="702">
        <v>8000</v>
      </c>
      <c r="L78" s="701"/>
      <c r="M78" s="701"/>
      <c r="N78" s="703">
        <v>7243.9769999999999</v>
      </c>
      <c r="O78" s="704"/>
      <c r="P78" s="704"/>
      <c r="Q78" s="704"/>
    </row>
    <row r="79" spans="1:17" s="639" customFormat="1" ht="11.25">
      <c r="A79" s="681">
        <v>17</v>
      </c>
      <c r="B79" s="700" t="s">
        <v>873</v>
      </c>
      <c r="C79" s="701" t="s">
        <v>855</v>
      </c>
      <c r="D79" s="631">
        <f>N79</f>
        <v>517.21199999999999</v>
      </c>
      <c r="E79" s="700" t="s">
        <v>751</v>
      </c>
      <c r="F79" s="643" t="s">
        <v>196</v>
      </c>
      <c r="G79" s="632">
        <v>40909</v>
      </c>
      <c r="H79" s="632">
        <v>41274</v>
      </c>
      <c r="I79" s="701">
        <v>1619</v>
      </c>
      <c r="J79" s="701" t="s">
        <v>759</v>
      </c>
      <c r="K79" s="701" t="s">
        <v>312</v>
      </c>
      <c r="L79" s="701"/>
      <c r="M79" s="701"/>
      <c r="N79" s="703">
        <v>517.21199999999999</v>
      </c>
      <c r="O79" s="704"/>
      <c r="P79" s="704"/>
      <c r="Q79" s="704"/>
    </row>
    <row r="80" spans="1:17" s="639" customFormat="1" ht="22.5">
      <c r="A80" s="681">
        <v>18</v>
      </c>
      <c r="B80" s="700" t="s">
        <v>874</v>
      </c>
      <c r="C80" s="701" t="s">
        <v>853</v>
      </c>
      <c r="D80" s="702">
        <v>23219</v>
      </c>
      <c r="E80" s="700" t="s">
        <v>875</v>
      </c>
      <c r="F80" s="701" t="s">
        <v>876</v>
      </c>
      <c r="G80" s="632">
        <v>40801</v>
      </c>
      <c r="H80" s="632">
        <v>41166</v>
      </c>
      <c r="I80" s="701">
        <v>1619</v>
      </c>
      <c r="J80" s="701" t="s">
        <v>759</v>
      </c>
      <c r="K80" s="701" t="s">
        <v>312</v>
      </c>
      <c r="L80" s="701"/>
      <c r="M80" s="701"/>
      <c r="N80" s="703">
        <v>592.56200000000001</v>
      </c>
      <c r="O80" s="704"/>
      <c r="P80" s="704"/>
      <c r="Q80" s="704"/>
    </row>
    <row r="81" spans="1:17" s="639" customFormat="1" ht="22.5">
      <c r="A81" s="711">
        <v>19</v>
      </c>
      <c r="B81" s="712" t="s">
        <v>877</v>
      </c>
      <c r="C81" s="721" t="s">
        <v>671</v>
      </c>
      <c r="D81" s="714">
        <v>24597</v>
      </c>
      <c r="E81" s="700" t="s">
        <v>751</v>
      </c>
      <c r="F81" s="701" t="s">
        <v>878</v>
      </c>
      <c r="G81" s="632">
        <v>40554</v>
      </c>
      <c r="H81" s="632">
        <v>41065</v>
      </c>
      <c r="I81" s="701">
        <v>1619</v>
      </c>
      <c r="J81" s="701" t="s">
        <v>759</v>
      </c>
      <c r="K81" s="701" t="s">
        <v>312</v>
      </c>
      <c r="L81" s="701"/>
      <c r="M81" s="701"/>
      <c r="N81" s="703">
        <v>482.97699999999998</v>
      </c>
      <c r="O81" s="704"/>
      <c r="P81" s="704"/>
      <c r="Q81" s="704"/>
    </row>
    <row r="82" spans="1:17" s="639" customFormat="1" ht="11.25">
      <c r="A82" s="711"/>
      <c r="B82" s="715"/>
      <c r="C82" s="722"/>
      <c r="D82" s="714"/>
      <c r="E82" s="700" t="s">
        <v>851</v>
      </c>
      <c r="F82" s="701" t="s">
        <v>879</v>
      </c>
      <c r="G82" s="632">
        <v>40527</v>
      </c>
      <c r="H82" s="632">
        <v>41006</v>
      </c>
      <c r="I82" s="701">
        <v>1619</v>
      </c>
      <c r="J82" s="701" t="s">
        <v>759</v>
      </c>
      <c r="K82" s="701" t="s">
        <v>312</v>
      </c>
      <c r="L82" s="701"/>
      <c r="M82" s="701"/>
      <c r="N82" s="703">
        <v>311.53100000000001</v>
      </c>
      <c r="O82" s="704"/>
      <c r="P82" s="704"/>
      <c r="Q82" s="704"/>
    </row>
    <row r="83" spans="1:17" s="639" customFormat="1" ht="11.25">
      <c r="A83" s="681">
        <v>20</v>
      </c>
      <c r="B83" s="700" t="s">
        <v>880</v>
      </c>
      <c r="C83" s="701" t="s">
        <v>671</v>
      </c>
      <c r="D83" s="702">
        <f>1678.491*1.16</f>
        <v>1947.0495599999999</v>
      </c>
      <c r="E83" s="700" t="s">
        <v>881</v>
      </c>
      <c r="F83" s="701" t="s">
        <v>882</v>
      </c>
      <c r="G83" s="632">
        <v>40631</v>
      </c>
      <c r="H83" s="632">
        <f>G83+420</f>
        <v>41051</v>
      </c>
      <c r="I83" s="701">
        <v>1619</v>
      </c>
      <c r="J83" s="701" t="s">
        <v>759</v>
      </c>
      <c r="K83" s="701" t="s">
        <v>312</v>
      </c>
      <c r="L83" s="701"/>
      <c r="M83" s="701"/>
      <c r="N83" s="703">
        <v>804.34100000000001</v>
      </c>
      <c r="O83" s="704"/>
      <c r="P83" s="704"/>
      <c r="Q83" s="704"/>
    </row>
    <row r="84" spans="1:17" s="639" customFormat="1" ht="22.5">
      <c r="A84" s="711">
        <v>21</v>
      </c>
      <c r="B84" s="712" t="s">
        <v>883</v>
      </c>
      <c r="C84" s="721" t="s">
        <v>671</v>
      </c>
      <c r="D84" s="714">
        <v>4127</v>
      </c>
      <c r="E84" s="700" t="s">
        <v>751</v>
      </c>
      <c r="F84" s="643" t="s">
        <v>884</v>
      </c>
      <c r="G84" s="632">
        <v>40618</v>
      </c>
      <c r="H84" s="632">
        <v>41067</v>
      </c>
      <c r="I84" s="701">
        <v>1619</v>
      </c>
      <c r="J84" s="701" t="s">
        <v>759</v>
      </c>
      <c r="K84" s="702">
        <v>1600</v>
      </c>
      <c r="L84" s="701"/>
      <c r="M84" s="701"/>
      <c r="N84" s="703">
        <v>1605.0909999999999</v>
      </c>
      <c r="O84" s="704"/>
      <c r="P84" s="704"/>
      <c r="Q84" s="704"/>
    </row>
    <row r="85" spans="1:17" s="639" customFormat="1" ht="11.25">
      <c r="A85" s="711"/>
      <c r="B85" s="715"/>
      <c r="C85" s="722"/>
      <c r="D85" s="714"/>
      <c r="E85" s="700" t="s">
        <v>851</v>
      </c>
      <c r="F85" s="701" t="s">
        <v>885</v>
      </c>
      <c r="G85" s="632">
        <v>40603</v>
      </c>
      <c r="H85" s="632">
        <f>G85+540-1</f>
        <v>41142</v>
      </c>
      <c r="I85" s="701">
        <v>1619</v>
      </c>
      <c r="J85" s="701" t="s">
        <v>759</v>
      </c>
      <c r="K85" s="701" t="s">
        <v>312</v>
      </c>
      <c r="L85" s="701"/>
      <c r="M85" s="701"/>
      <c r="N85" s="703">
        <v>268.83699999999999</v>
      </c>
      <c r="O85" s="704"/>
      <c r="P85" s="704"/>
      <c r="Q85" s="704"/>
    </row>
    <row r="86" spans="1:17" s="639" customFormat="1" ht="11.25">
      <c r="A86" s="681"/>
      <c r="B86" s="716" t="s">
        <v>842</v>
      </c>
      <c r="C86" s="716"/>
      <c r="D86" s="717"/>
      <c r="E86" s="718"/>
      <c r="F86" s="719"/>
      <c r="G86" s="720"/>
      <c r="H86" s="720"/>
      <c r="I86" s="719"/>
      <c r="J86" s="719"/>
      <c r="K86" s="719"/>
      <c r="L86" s="719"/>
      <c r="M86" s="719"/>
      <c r="N86" s="717">
        <f>SUM(N78:N85)</f>
        <v>11826.528000000002</v>
      </c>
      <c r="O86" s="718"/>
      <c r="P86" s="718"/>
      <c r="Q86" s="718"/>
    </row>
    <row r="87" spans="1:17" s="639" customFormat="1" ht="11.25">
      <c r="A87" s="681">
        <v>22</v>
      </c>
      <c r="B87" s="710" t="s">
        <v>865</v>
      </c>
      <c r="C87" s="701" t="s">
        <v>671</v>
      </c>
      <c r="D87" s="702">
        <f>1212</f>
        <v>1212</v>
      </c>
      <c r="E87" s="700" t="s">
        <v>751</v>
      </c>
      <c r="F87" s="701" t="s">
        <v>866</v>
      </c>
      <c r="G87" s="632">
        <v>40791</v>
      </c>
      <c r="H87" s="632">
        <f>G87+540-1</f>
        <v>41330</v>
      </c>
      <c r="I87" s="701">
        <v>1611</v>
      </c>
      <c r="J87" s="701" t="s">
        <v>759</v>
      </c>
      <c r="K87" s="701" t="s">
        <v>312</v>
      </c>
      <c r="L87" s="701"/>
      <c r="M87" s="701"/>
      <c r="N87" s="703">
        <v>1154.472</v>
      </c>
      <c r="O87" s="704"/>
      <c r="P87" s="704"/>
      <c r="Q87" s="704"/>
    </row>
    <row r="88" spans="1:17" s="639" customFormat="1" ht="11.25">
      <c r="A88" s="711">
        <v>23</v>
      </c>
      <c r="B88" s="723" t="s">
        <v>886</v>
      </c>
      <c r="C88" s="701" t="s">
        <v>671</v>
      </c>
      <c r="D88" s="714">
        <f>N88+N89+1602</f>
        <v>2896.79</v>
      </c>
      <c r="E88" s="700" t="s">
        <v>848</v>
      </c>
      <c r="F88" s="643" t="s">
        <v>196</v>
      </c>
      <c r="G88" s="632">
        <v>41150</v>
      </c>
      <c r="H88" s="632">
        <v>41229</v>
      </c>
      <c r="I88" s="701" t="s">
        <v>850</v>
      </c>
      <c r="J88" s="701" t="s">
        <v>759</v>
      </c>
      <c r="K88" s="701" t="s">
        <v>312</v>
      </c>
      <c r="L88" s="701"/>
      <c r="M88" s="701"/>
      <c r="N88" s="703">
        <v>262.791</v>
      </c>
      <c r="O88" s="704"/>
      <c r="P88" s="704"/>
      <c r="Q88" s="704"/>
    </row>
    <row r="89" spans="1:17" s="639" customFormat="1" ht="11.25">
      <c r="A89" s="711"/>
      <c r="B89" s="723"/>
      <c r="C89" s="681"/>
      <c r="D89" s="714"/>
      <c r="E89" s="700" t="s">
        <v>881</v>
      </c>
      <c r="F89" s="643" t="s">
        <v>196</v>
      </c>
      <c r="G89" s="632">
        <v>41134</v>
      </c>
      <c r="H89" s="632">
        <f>G89+365-1</f>
        <v>41498</v>
      </c>
      <c r="I89" s="701">
        <v>1611</v>
      </c>
      <c r="J89" s="701" t="s">
        <v>759</v>
      </c>
      <c r="K89" s="701" t="s">
        <v>312</v>
      </c>
      <c r="L89" s="701"/>
      <c r="M89" s="701"/>
      <c r="N89" s="703">
        <v>1031.999</v>
      </c>
      <c r="O89" s="704"/>
      <c r="P89" s="704"/>
      <c r="Q89" s="704"/>
    </row>
    <row r="90" spans="1:17" s="639" customFormat="1" ht="11.25">
      <c r="A90" s="711">
        <v>24</v>
      </c>
      <c r="B90" s="723" t="s">
        <v>887</v>
      </c>
      <c r="C90" s="721" t="s">
        <v>855</v>
      </c>
      <c r="D90" s="714">
        <f>N91+N92+N93+N94</f>
        <v>1379.2339999999999</v>
      </c>
      <c r="E90" s="700" t="s">
        <v>848</v>
      </c>
      <c r="F90" s="643" t="s">
        <v>196</v>
      </c>
      <c r="G90" s="632">
        <v>41158</v>
      </c>
      <c r="H90" s="632">
        <v>41247</v>
      </c>
      <c r="I90" s="701" t="s">
        <v>850</v>
      </c>
      <c r="J90" s="701" t="s">
        <v>759</v>
      </c>
      <c r="K90" s="701" t="s">
        <v>312</v>
      </c>
      <c r="L90" s="701"/>
      <c r="M90" s="701"/>
      <c r="N90" s="703">
        <v>616.98699999999997</v>
      </c>
      <c r="O90" s="704"/>
      <c r="P90" s="704"/>
      <c r="Q90" s="704"/>
    </row>
    <row r="91" spans="1:17" s="639" customFormat="1" ht="11.25">
      <c r="A91" s="711"/>
      <c r="B91" s="723"/>
      <c r="C91" s="724"/>
      <c r="D91" s="714"/>
      <c r="E91" s="700" t="s">
        <v>751</v>
      </c>
      <c r="F91" s="643" t="s">
        <v>196</v>
      </c>
      <c r="G91" s="632">
        <v>41162</v>
      </c>
      <c r="H91" s="632">
        <f>G91+60-1</f>
        <v>41221</v>
      </c>
      <c r="I91" s="701">
        <v>1611</v>
      </c>
      <c r="J91" s="701" t="s">
        <v>759</v>
      </c>
      <c r="K91" s="701" t="s">
        <v>312</v>
      </c>
      <c r="L91" s="701"/>
      <c r="M91" s="701"/>
      <c r="N91" s="703">
        <v>95.174000000000007</v>
      </c>
      <c r="O91" s="704"/>
      <c r="P91" s="704"/>
      <c r="Q91" s="704"/>
    </row>
    <row r="92" spans="1:17" s="639" customFormat="1" ht="11.25">
      <c r="A92" s="711"/>
      <c r="B92" s="723"/>
      <c r="C92" s="724"/>
      <c r="D92" s="714"/>
      <c r="E92" s="700" t="s">
        <v>858</v>
      </c>
      <c r="F92" s="643" t="s">
        <v>196</v>
      </c>
      <c r="G92" s="632">
        <v>41158</v>
      </c>
      <c r="H92" s="632">
        <v>41247</v>
      </c>
      <c r="I92" s="701" t="s">
        <v>850</v>
      </c>
      <c r="J92" s="701" t="s">
        <v>759</v>
      </c>
      <c r="K92" s="701" t="s">
        <v>312</v>
      </c>
      <c r="L92" s="701"/>
      <c r="M92" s="701"/>
      <c r="N92" s="703">
        <v>53.651000000000003</v>
      </c>
      <c r="O92" s="704"/>
      <c r="P92" s="704"/>
      <c r="Q92" s="704"/>
    </row>
    <row r="93" spans="1:17" s="639" customFormat="1" ht="11.25">
      <c r="A93" s="711"/>
      <c r="B93" s="723"/>
      <c r="C93" s="722"/>
      <c r="D93" s="714"/>
      <c r="E93" s="700" t="s">
        <v>844</v>
      </c>
      <c r="F93" s="643" t="s">
        <v>196</v>
      </c>
      <c r="G93" s="632">
        <v>41108</v>
      </c>
      <c r="H93" s="632">
        <v>41227</v>
      </c>
      <c r="I93" s="701">
        <v>1611</v>
      </c>
      <c r="J93" s="701" t="s">
        <v>759</v>
      </c>
      <c r="K93" s="701" t="s">
        <v>312</v>
      </c>
      <c r="L93" s="701"/>
      <c r="M93" s="701"/>
      <c r="N93" s="703">
        <v>620.70000000000005</v>
      </c>
      <c r="O93" s="704"/>
      <c r="P93" s="704"/>
      <c r="Q93" s="704"/>
    </row>
    <row r="94" spans="1:17" s="639" customFormat="1" ht="11.25">
      <c r="A94" s="711">
        <v>25</v>
      </c>
      <c r="B94" s="723" t="s">
        <v>888</v>
      </c>
      <c r="C94" s="721" t="s">
        <v>855</v>
      </c>
      <c r="D94" s="714">
        <f>N94+N95+N96</f>
        <v>728.76499999999999</v>
      </c>
      <c r="E94" s="700" t="s">
        <v>848</v>
      </c>
      <c r="F94" s="643" t="s">
        <v>196</v>
      </c>
      <c r="G94" s="632">
        <v>41110</v>
      </c>
      <c r="H94" s="632">
        <v>41259</v>
      </c>
      <c r="I94" s="701" t="s">
        <v>850</v>
      </c>
      <c r="J94" s="701" t="s">
        <v>759</v>
      </c>
      <c r="K94" s="701" t="s">
        <v>312</v>
      </c>
      <c r="L94" s="701"/>
      <c r="M94" s="701"/>
      <c r="N94" s="703">
        <v>609.70899999999995</v>
      </c>
      <c r="O94" s="704"/>
      <c r="P94" s="704"/>
      <c r="Q94" s="704"/>
    </row>
    <row r="95" spans="1:17" s="639" customFormat="1" ht="11.25">
      <c r="A95" s="711"/>
      <c r="B95" s="723"/>
      <c r="C95" s="724"/>
      <c r="D95" s="714"/>
      <c r="E95" s="700" t="s">
        <v>751</v>
      </c>
      <c r="F95" s="643" t="s">
        <v>196</v>
      </c>
      <c r="G95" s="632">
        <v>41162</v>
      </c>
      <c r="H95" s="632">
        <f>G95+60-1</f>
        <v>41221</v>
      </c>
      <c r="I95" s="701" t="s">
        <v>850</v>
      </c>
      <c r="J95" s="701" t="s">
        <v>759</v>
      </c>
      <c r="K95" s="701" t="s">
        <v>312</v>
      </c>
      <c r="L95" s="701"/>
      <c r="M95" s="701"/>
      <c r="N95" s="703">
        <v>25</v>
      </c>
      <c r="O95" s="704"/>
      <c r="P95" s="704"/>
      <c r="Q95" s="704"/>
    </row>
    <row r="96" spans="1:17" s="639" customFormat="1" ht="11.25">
      <c r="A96" s="711"/>
      <c r="B96" s="723"/>
      <c r="C96" s="722"/>
      <c r="D96" s="714"/>
      <c r="E96" s="700" t="s">
        <v>844</v>
      </c>
      <c r="F96" s="643" t="s">
        <v>196</v>
      </c>
      <c r="G96" s="632">
        <v>41143</v>
      </c>
      <c r="H96" s="632">
        <v>41171</v>
      </c>
      <c r="I96" s="701" t="s">
        <v>850</v>
      </c>
      <c r="J96" s="701" t="s">
        <v>759</v>
      </c>
      <c r="K96" s="701" t="s">
        <v>312</v>
      </c>
      <c r="L96" s="701"/>
      <c r="M96" s="701"/>
      <c r="N96" s="703">
        <v>94.055999999999997</v>
      </c>
      <c r="O96" s="704"/>
      <c r="P96" s="704"/>
      <c r="Q96" s="704"/>
    </row>
    <row r="97" spans="1:17" s="639" customFormat="1" ht="22.5">
      <c r="A97" s="681">
        <v>26</v>
      </c>
      <c r="B97" s="710" t="s">
        <v>889</v>
      </c>
      <c r="C97" s="701" t="s">
        <v>855</v>
      </c>
      <c r="D97" s="702">
        <f>N97</f>
        <v>115.949</v>
      </c>
      <c r="E97" s="700" t="s">
        <v>848</v>
      </c>
      <c r="F97" s="643" t="s">
        <v>196</v>
      </c>
      <c r="G97" s="632">
        <v>41162</v>
      </c>
      <c r="H97" s="632">
        <f>G97+60-1</f>
        <v>41221</v>
      </c>
      <c r="I97" s="701" t="s">
        <v>850</v>
      </c>
      <c r="J97" s="701" t="s">
        <v>759</v>
      </c>
      <c r="K97" s="701" t="s">
        <v>312</v>
      </c>
      <c r="L97" s="701"/>
      <c r="M97" s="701"/>
      <c r="N97" s="703">
        <v>115.949</v>
      </c>
      <c r="O97" s="704"/>
      <c r="P97" s="704"/>
      <c r="Q97" s="704"/>
    </row>
    <row r="98" spans="1:17" s="639" customFormat="1" ht="22.5">
      <c r="A98" s="681">
        <v>27</v>
      </c>
      <c r="B98" s="710" t="s">
        <v>890</v>
      </c>
      <c r="C98" s="701" t="s">
        <v>254</v>
      </c>
      <c r="D98" s="702"/>
      <c r="E98" s="700" t="s">
        <v>848</v>
      </c>
      <c r="F98" s="643" t="s">
        <v>196</v>
      </c>
      <c r="G98" s="725" t="s">
        <v>891</v>
      </c>
      <c r="H98" s="726"/>
      <c r="I98" s="701" t="s">
        <v>850</v>
      </c>
      <c r="J98" s="701" t="s">
        <v>759</v>
      </c>
      <c r="K98" s="701" t="s">
        <v>312</v>
      </c>
      <c r="L98" s="701"/>
      <c r="M98" s="701"/>
      <c r="N98" s="703">
        <v>503.6</v>
      </c>
      <c r="O98" s="704"/>
      <c r="P98" s="704"/>
      <c r="Q98" s="704"/>
    </row>
    <row r="99" spans="1:17" s="639" customFormat="1" ht="11.25">
      <c r="A99" s="681">
        <v>28</v>
      </c>
      <c r="B99" s="710" t="s">
        <v>892</v>
      </c>
      <c r="C99" s="681" t="s">
        <v>855</v>
      </c>
      <c r="D99" s="702">
        <f>N99</f>
        <v>612.31200000000001</v>
      </c>
      <c r="E99" s="700" t="s">
        <v>844</v>
      </c>
      <c r="F99" s="643" t="s">
        <v>196</v>
      </c>
      <c r="G99" s="632">
        <v>41043</v>
      </c>
      <c r="H99" s="632">
        <v>41236</v>
      </c>
      <c r="I99" s="701">
        <v>1611</v>
      </c>
      <c r="J99" s="701" t="s">
        <v>759</v>
      </c>
      <c r="K99" s="701" t="s">
        <v>312</v>
      </c>
      <c r="L99" s="701"/>
      <c r="M99" s="701"/>
      <c r="N99" s="703">
        <v>612.31200000000001</v>
      </c>
      <c r="O99" s="704"/>
      <c r="P99" s="704"/>
      <c r="Q99" s="704"/>
    </row>
    <row r="100" spans="1:17" s="639" customFormat="1" ht="11.25">
      <c r="A100" s="681"/>
      <c r="B100" s="716" t="s">
        <v>842</v>
      </c>
      <c r="C100" s="716"/>
      <c r="D100" s="717"/>
      <c r="E100" s="718"/>
      <c r="F100" s="719"/>
      <c r="G100" s="720"/>
      <c r="H100" s="720"/>
      <c r="I100" s="719"/>
      <c r="J100" s="719"/>
      <c r="K100" s="719"/>
      <c r="L100" s="719"/>
      <c r="M100" s="719"/>
      <c r="N100" s="717">
        <f>SUM(N87:N99)</f>
        <v>5796.3999999999987</v>
      </c>
      <c r="O100" s="718"/>
      <c r="P100" s="718"/>
      <c r="Q100" s="718"/>
    </row>
    <row r="101" spans="1:17" s="639" customFormat="1" ht="11.25">
      <c r="A101" s="681">
        <v>29</v>
      </c>
      <c r="B101" s="700" t="s">
        <v>893</v>
      </c>
      <c r="C101" s="701" t="s">
        <v>855</v>
      </c>
      <c r="D101" s="702">
        <f>N101</f>
        <v>537.16999999999996</v>
      </c>
      <c r="E101" s="700" t="s">
        <v>751</v>
      </c>
      <c r="F101" s="643" t="s">
        <v>196</v>
      </c>
      <c r="G101" s="632">
        <v>40973</v>
      </c>
      <c r="H101" s="632">
        <v>41232</v>
      </c>
      <c r="I101" s="701">
        <v>1621</v>
      </c>
      <c r="J101" s="701" t="s">
        <v>759</v>
      </c>
      <c r="K101" s="701" t="s">
        <v>312</v>
      </c>
      <c r="L101" s="701"/>
      <c r="M101" s="701"/>
      <c r="N101" s="703">
        <v>537.16999999999996</v>
      </c>
      <c r="O101" s="704"/>
      <c r="P101" s="704"/>
      <c r="Q101" s="704"/>
    </row>
    <row r="102" spans="1:17" s="639" customFormat="1" ht="11.25">
      <c r="A102" s="681"/>
      <c r="B102" s="716" t="s">
        <v>842</v>
      </c>
      <c r="C102" s="716"/>
      <c r="D102" s="717"/>
      <c r="E102" s="718"/>
      <c r="F102" s="719"/>
      <c r="G102" s="720"/>
      <c r="H102" s="720"/>
      <c r="I102" s="719"/>
      <c r="J102" s="719"/>
      <c r="K102" s="719"/>
      <c r="L102" s="719"/>
      <c r="M102" s="719"/>
      <c r="N102" s="717">
        <f>SUM(N101)</f>
        <v>537.16999999999996</v>
      </c>
      <c r="O102" s="718"/>
      <c r="P102" s="718"/>
      <c r="Q102" s="718"/>
    </row>
    <row r="103" spans="1:17" s="639" customFormat="1" ht="11.25">
      <c r="A103" s="681">
        <v>30</v>
      </c>
      <c r="B103" s="700" t="s">
        <v>894</v>
      </c>
      <c r="C103" s="701" t="s">
        <v>855</v>
      </c>
      <c r="D103" s="702">
        <f>N103</f>
        <v>3728.585</v>
      </c>
      <c r="E103" s="700" t="s">
        <v>895</v>
      </c>
      <c r="F103" s="701" t="s">
        <v>196</v>
      </c>
      <c r="G103" s="632">
        <v>40909</v>
      </c>
      <c r="H103" s="632">
        <v>41274</v>
      </c>
      <c r="I103" s="701"/>
      <c r="J103" s="701" t="s">
        <v>759</v>
      </c>
      <c r="K103" s="701" t="s">
        <v>312</v>
      </c>
      <c r="L103" s="701"/>
      <c r="M103" s="701"/>
      <c r="N103" s="703">
        <v>3728.585</v>
      </c>
      <c r="O103" s="704"/>
      <c r="P103" s="704"/>
      <c r="Q103" s="704"/>
    </row>
    <row r="104" spans="1:17" s="639" customFormat="1" ht="11.25">
      <c r="A104" s="681"/>
      <c r="B104" s="716" t="s">
        <v>842</v>
      </c>
      <c r="C104" s="716"/>
      <c r="D104" s="717"/>
      <c r="E104" s="718"/>
      <c r="F104" s="719"/>
      <c r="G104" s="720"/>
      <c r="H104" s="720"/>
      <c r="I104" s="719"/>
      <c r="J104" s="719"/>
      <c r="K104" s="719"/>
      <c r="L104" s="719"/>
      <c r="M104" s="719"/>
      <c r="N104" s="717">
        <f>SUM(N103)</f>
        <v>3728.585</v>
      </c>
      <c r="O104" s="718"/>
      <c r="P104" s="718"/>
      <c r="Q104" s="718"/>
    </row>
    <row r="105" spans="1:17" s="639" customFormat="1" ht="11.25">
      <c r="A105" s="681"/>
      <c r="B105" s="727" t="s">
        <v>896</v>
      </c>
      <c r="C105" s="728"/>
      <c r="D105" s="729"/>
      <c r="E105" s="727"/>
      <c r="F105" s="728"/>
      <c r="G105" s="730"/>
      <c r="H105" s="730"/>
      <c r="I105" s="728"/>
      <c r="J105" s="728"/>
      <c r="K105" s="728"/>
      <c r="L105" s="728"/>
      <c r="M105" s="728"/>
      <c r="N105" s="731">
        <f>N49+N58+N60+N67+N77+N86+N100+N102+N104</f>
        <v>76032.990000000005</v>
      </c>
      <c r="O105" s="732"/>
      <c r="P105" s="732"/>
      <c r="Q105" s="732"/>
    </row>
    <row r="106" spans="1:17" s="639" customFormat="1" ht="11.25">
      <c r="A106" s="681">
        <v>31</v>
      </c>
      <c r="B106" s="700" t="s">
        <v>897</v>
      </c>
      <c r="C106" s="701" t="s">
        <v>855</v>
      </c>
      <c r="D106" s="702">
        <f>N106</f>
        <v>228.8</v>
      </c>
      <c r="E106" s="700" t="s">
        <v>848</v>
      </c>
      <c r="F106" s="643" t="s">
        <v>196</v>
      </c>
      <c r="G106" s="733" t="s">
        <v>196</v>
      </c>
      <c r="H106" s="733" t="s">
        <v>196</v>
      </c>
      <c r="I106" s="701" t="s">
        <v>898</v>
      </c>
      <c r="J106" s="701" t="s">
        <v>759</v>
      </c>
      <c r="K106" s="701" t="s">
        <v>312</v>
      </c>
      <c r="L106" s="701"/>
      <c r="M106" s="701"/>
      <c r="N106" s="703">
        <v>228.8</v>
      </c>
      <c r="O106" s="704"/>
      <c r="P106" s="704"/>
      <c r="Q106" s="704"/>
    </row>
    <row r="107" spans="1:17" s="639" customFormat="1" ht="22.5">
      <c r="A107" s="681">
        <v>32</v>
      </c>
      <c r="B107" s="700" t="s">
        <v>899</v>
      </c>
      <c r="C107" s="701" t="s">
        <v>853</v>
      </c>
      <c r="D107" s="702">
        <v>6948</v>
      </c>
      <c r="E107" s="700" t="s">
        <v>751</v>
      </c>
      <c r="F107" s="643" t="s">
        <v>196</v>
      </c>
      <c r="G107" s="733" t="s">
        <v>196</v>
      </c>
      <c r="H107" s="733" t="s">
        <v>196</v>
      </c>
      <c r="I107" s="701">
        <v>1624</v>
      </c>
      <c r="J107" s="701" t="s">
        <v>759</v>
      </c>
      <c r="K107" s="701" t="s">
        <v>312</v>
      </c>
      <c r="L107" s="701"/>
      <c r="M107" s="701"/>
      <c r="N107" s="703">
        <v>318.916</v>
      </c>
      <c r="O107" s="704"/>
      <c r="P107" s="704"/>
      <c r="Q107" s="704"/>
    </row>
    <row r="108" spans="1:17" s="639" customFormat="1" ht="11.25">
      <c r="A108" s="681">
        <v>33</v>
      </c>
      <c r="B108" s="700" t="s">
        <v>900</v>
      </c>
      <c r="C108" s="701" t="s">
        <v>855</v>
      </c>
      <c r="D108" s="702">
        <f>N108</f>
        <v>677.18600000000004</v>
      </c>
      <c r="E108" s="700" t="s">
        <v>901</v>
      </c>
      <c r="F108" s="701" t="s">
        <v>902</v>
      </c>
      <c r="G108" s="632">
        <v>40793</v>
      </c>
      <c r="H108" s="632">
        <f>G108+365-1</f>
        <v>41157</v>
      </c>
      <c r="I108" s="701">
        <v>1657</v>
      </c>
      <c r="J108" s="701" t="s">
        <v>759</v>
      </c>
      <c r="K108" s="701" t="s">
        <v>312</v>
      </c>
      <c r="L108" s="701"/>
      <c r="M108" s="701"/>
      <c r="N108" s="703">
        <v>677.18600000000004</v>
      </c>
      <c r="O108" s="704"/>
      <c r="P108" s="704"/>
      <c r="Q108" s="704"/>
    </row>
    <row r="109" spans="1:17" s="639" customFormat="1" ht="11.25">
      <c r="A109" s="711">
        <v>34</v>
      </c>
      <c r="B109" s="712" t="s">
        <v>903</v>
      </c>
      <c r="C109" s="713" t="s">
        <v>671</v>
      </c>
      <c r="D109" s="714">
        <v>29453</v>
      </c>
      <c r="E109" s="700" t="s">
        <v>848</v>
      </c>
      <c r="F109" s="643" t="s">
        <v>196</v>
      </c>
      <c r="G109" s="632">
        <v>41127</v>
      </c>
      <c r="H109" s="632">
        <f>G109+180</f>
        <v>41307</v>
      </c>
      <c r="I109" s="701" t="s">
        <v>898</v>
      </c>
      <c r="J109" s="701" t="s">
        <v>759</v>
      </c>
      <c r="K109" s="701" t="s">
        <v>312</v>
      </c>
      <c r="L109" s="701"/>
      <c r="M109" s="701"/>
      <c r="N109" s="703">
        <v>222.3</v>
      </c>
      <c r="O109" s="704"/>
      <c r="P109" s="704"/>
      <c r="Q109" s="704"/>
    </row>
    <row r="110" spans="1:17" s="639" customFormat="1" ht="11.25">
      <c r="A110" s="711"/>
      <c r="B110" s="715"/>
      <c r="C110" s="713"/>
      <c r="D110" s="714"/>
      <c r="E110" s="700" t="s">
        <v>881</v>
      </c>
      <c r="F110" s="643" t="s">
        <v>196</v>
      </c>
      <c r="G110" s="632">
        <v>41059</v>
      </c>
      <c r="H110" s="632">
        <f>G110+365-1</f>
        <v>41423</v>
      </c>
      <c r="I110" s="701">
        <v>1657</v>
      </c>
      <c r="J110" s="701" t="s">
        <v>759</v>
      </c>
      <c r="K110" s="701" t="s">
        <v>312</v>
      </c>
      <c r="L110" s="701"/>
      <c r="M110" s="701"/>
      <c r="N110" s="703">
        <v>1004.369</v>
      </c>
      <c r="O110" s="704"/>
      <c r="P110" s="704"/>
      <c r="Q110" s="704"/>
    </row>
    <row r="111" spans="1:17" s="639" customFormat="1" ht="22.5">
      <c r="A111" s="711">
        <v>35</v>
      </c>
      <c r="B111" s="712" t="s">
        <v>904</v>
      </c>
      <c r="C111" s="711" t="s">
        <v>855</v>
      </c>
      <c r="D111" s="714">
        <f>N111</f>
        <v>5672.9620000000004</v>
      </c>
      <c r="E111" s="700" t="s">
        <v>848</v>
      </c>
      <c r="F111" s="701" t="s">
        <v>905</v>
      </c>
      <c r="G111" s="632">
        <v>40777</v>
      </c>
      <c r="H111" s="632">
        <v>41071</v>
      </c>
      <c r="I111" s="701" t="s">
        <v>906</v>
      </c>
      <c r="J111" s="701" t="s">
        <v>759</v>
      </c>
      <c r="K111" s="701" t="s">
        <v>312</v>
      </c>
      <c r="L111" s="701"/>
      <c r="M111" s="701"/>
      <c r="N111" s="734">
        <v>5672.9620000000004</v>
      </c>
      <c r="O111" s="704"/>
      <c r="P111" s="704"/>
      <c r="Q111" s="704"/>
    </row>
    <row r="112" spans="1:17" s="639" customFormat="1" ht="11.25">
      <c r="A112" s="711"/>
      <c r="B112" s="712"/>
      <c r="C112" s="711"/>
      <c r="D112" s="714"/>
      <c r="E112" s="700" t="s">
        <v>848</v>
      </c>
      <c r="F112" s="643" t="s">
        <v>196</v>
      </c>
      <c r="G112" s="632">
        <v>41102</v>
      </c>
      <c r="H112" s="632">
        <f>G112+570</f>
        <v>41672</v>
      </c>
      <c r="I112" s="701" t="s">
        <v>906</v>
      </c>
      <c r="J112" s="701" t="s">
        <v>759</v>
      </c>
      <c r="K112" s="701" t="s">
        <v>312</v>
      </c>
      <c r="L112" s="701"/>
      <c r="M112" s="701"/>
      <c r="N112" s="734"/>
      <c r="O112" s="704"/>
      <c r="P112" s="704"/>
      <c r="Q112" s="704"/>
    </row>
    <row r="113" spans="1:17" s="639" customFormat="1" ht="11.25">
      <c r="A113" s="681"/>
      <c r="B113" s="716" t="s">
        <v>842</v>
      </c>
      <c r="C113" s="716"/>
      <c r="D113" s="717"/>
      <c r="E113" s="718"/>
      <c r="F113" s="719"/>
      <c r="G113" s="720"/>
      <c r="H113" s="720"/>
      <c r="I113" s="719"/>
      <c r="J113" s="719"/>
      <c r="K113" s="719"/>
      <c r="L113" s="719"/>
      <c r="M113" s="719"/>
      <c r="N113" s="717">
        <f>SUM(N106:N112)</f>
        <v>8124.5330000000004</v>
      </c>
      <c r="O113" s="718"/>
      <c r="P113" s="718"/>
      <c r="Q113" s="718"/>
    </row>
    <row r="114" spans="1:17" s="639" customFormat="1" ht="22.5">
      <c r="A114" s="681">
        <v>36</v>
      </c>
      <c r="B114" s="700" t="s">
        <v>907</v>
      </c>
      <c r="C114" s="701" t="s">
        <v>671</v>
      </c>
      <c r="D114" s="702">
        <v>4601</v>
      </c>
      <c r="E114" s="700" t="s">
        <v>751</v>
      </c>
      <c r="F114" s="643" t="s">
        <v>196</v>
      </c>
      <c r="G114" s="632">
        <v>41203</v>
      </c>
      <c r="H114" s="632">
        <f>G114+240-1</f>
        <v>41442</v>
      </c>
      <c r="I114" s="701">
        <v>1619</v>
      </c>
      <c r="J114" s="701" t="s">
        <v>759</v>
      </c>
      <c r="K114" s="701" t="s">
        <v>312</v>
      </c>
      <c r="L114" s="701"/>
      <c r="M114" s="701"/>
      <c r="N114" s="703">
        <v>466.55200000000002</v>
      </c>
      <c r="O114" s="704"/>
      <c r="P114" s="704"/>
      <c r="Q114" s="704"/>
    </row>
    <row r="115" spans="1:17" s="639" customFormat="1" ht="11.25">
      <c r="A115" s="681"/>
      <c r="B115" s="716" t="s">
        <v>842</v>
      </c>
      <c r="C115" s="716"/>
      <c r="D115" s="717"/>
      <c r="E115" s="718"/>
      <c r="F115" s="719"/>
      <c r="G115" s="720"/>
      <c r="H115" s="720"/>
      <c r="I115" s="719"/>
      <c r="J115" s="719"/>
      <c r="K115" s="719"/>
      <c r="L115" s="719"/>
      <c r="M115" s="719"/>
      <c r="N115" s="717">
        <f>N114</f>
        <v>466.55200000000002</v>
      </c>
      <c r="O115" s="718"/>
      <c r="P115" s="718"/>
      <c r="Q115" s="718"/>
    </row>
    <row r="116" spans="1:17" s="639" customFormat="1" ht="11.25">
      <c r="A116" s="681">
        <v>37</v>
      </c>
      <c r="B116" s="700" t="s">
        <v>854</v>
      </c>
      <c r="C116" s="701" t="s">
        <v>855</v>
      </c>
      <c r="D116" s="702">
        <f>N116</f>
        <v>4219.3789999999999</v>
      </c>
      <c r="E116" s="700" t="s">
        <v>751</v>
      </c>
      <c r="F116" s="643" t="s">
        <v>856</v>
      </c>
      <c r="G116" s="632">
        <v>40945</v>
      </c>
      <c r="H116" s="632">
        <f>G116+365-1</f>
        <v>41309</v>
      </c>
      <c r="I116" s="701">
        <v>1619</v>
      </c>
      <c r="J116" s="701" t="s">
        <v>759</v>
      </c>
      <c r="K116" s="701" t="s">
        <v>312</v>
      </c>
      <c r="L116" s="701"/>
      <c r="M116" s="701"/>
      <c r="N116" s="703">
        <v>4219.3789999999999</v>
      </c>
      <c r="O116" s="704"/>
      <c r="P116" s="704"/>
      <c r="Q116" s="704"/>
    </row>
    <row r="117" spans="1:17" s="639" customFormat="1" ht="11.25">
      <c r="A117" s="681"/>
      <c r="B117" s="716" t="s">
        <v>842</v>
      </c>
      <c r="C117" s="716"/>
      <c r="D117" s="717"/>
      <c r="E117" s="718"/>
      <c r="F117" s="719"/>
      <c r="G117" s="720"/>
      <c r="H117" s="720"/>
      <c r="I117" s="719"/>
      <c r="J117" s="719"/>
      <c r="K117" s="719"/>
      <c r="L117" s="719"/>
      <c r="M117" s="719"/>
      <c r="N117" s="717">
        <f>N116</f>
        <v>4219.3789999999999</v>
      </c>
      <c r="O117" s="718"/>
      <c r="P117" s="718"/>
      <c r="Q117" s="718"/>
    </row>
    <row r="118" spans="1:17" s="639" customFormat="1" ht="22.5">
      <c r="A118" s="681">
        <v>38</v>
      </c>
      <c r="B118" s="700" t="s">
        <v>874</v>
      </c>
      <c r="C118" s="701" t="s">
        <v>853</v>
      </c>
      <c r="D118" s="702">
        <v>66664</v>
      </c>
      <c r="E118" s="700" t="s">
        <v>875</v>
      </c>
      <c r="F118" s="643" t="s">
        <v>876</v>
      </c>
      <c r="G118" s="632">
        <v>40801</v>
      </c>
      <c r="H118" s="632">
        <v>41166</v>
      </c>
      <c r="I118" s="701">
        <v>1619</v>
      </c>
      <c r="J118" s="701" t="s">
        <v>759</v>
      </c>
      <c r="K118" s="701" t="s">
        <v>312</v>
      </c>
      <c r="L118" s="701"/>
      <c r="M118" s="701"/>
      <c r="N118" s="703">
        <v>3444.6289999999999</v>
      </c>
      <c r="O118" s="704"/>
      <c r="P118" s="704"/>
      <c r="Q118" s="704"/>
    </row>
    <row r="119" spans="1:17" s="639" customFormat="1" ht="11.25">
      <c r="A119" s="681">
        <v>39</v>
      </c>
      <c r="B119" s="700" t="s">
        <v>908</v>
      </c>
      <c r="C119" s="701" t="s">
        <v>853</v>
      </c>
      <c r="D119" s="702">
        <v>14227</v>
      </c>
      <c r="E119" s="700" t="s">
        <v>875</v>
      </c>
      <c r="F119" s="643" t="s">
        <v>196</v>
      </c>
      <c r="G119" s="632">
        <v>40911</v>
      </c>
      <c r="H119" s="632">
        <f>G119+365-1</f>
        <v>41275</v>
      </c>
      <c r="I119" s="701">
        <v>1619</v>
      </c>
      <c r="J119" s="701" t="s">
        <v>759</v>
      </c>
      <c r="K119" s="701" t="s">
        <v>312</v>
      </c>
      <c r="L119" s="701"/>
      <c r="M119" s="701"/>
      <c r="N119" s="703">
        <v>587.82399999999996</v>
      </c>
      <c r="O119" s="704"/>
      <c r="P119" s="704"/>
      <c r="Q119" s="704"/>
    </row>
    <row r="120" spans="1:17" s="639" customFormat="1" ht="11.25">
      <c r="A120" s="681">
        <v>40</v>
      </c>
      <c r="B120" s="700" t="s">
        <v>909</v>
      </c>
      <c r="C120" s="701" t="s">
        <v>853</v>
      </c>
      <c r="D120" s="702">
        <v>14609</v>
      </c>
      <c r="E120" s="700" t="s">
        <v>875</v>
      </c>
      <c r="F120" s="643" t="s">
        <v>196</v>
      </c>
      <c r="G120" s="632">
        <v>40911</v>
      </c>
      <c r="H120" s="632">
        <f t="shared" ref="H120:H121" si="0">G120+365-1</f>
        <v>41275</v>
      </c>
      <c r="I120" s="701">
        <v>1619</v>
      </c>
      <c r="J120" s="701" t="s">
        <v>759</v>
      </c>
      <c r="K120" s="701" t="s">
        <v>312</v>
      </c>
      <c r="L120" s="701"/>
      <c r="M120" s="701"/>
      <c r="N120" s="703">
        <v>601.33799999999997</v>
      </c>
      <c r="O120" s="704"/>
      <c r="P120" s="704"/>
      <c r="Q120" s="704"/>
    </row>
    <row r="121" spans="1:17" s="639" customFormat="1" ht="11.25">
      <c r="A121" s="681">
        <v>41</v>
      </c>
      <c r="B121" s="700" t="s">
        <v>910</v>
      </c>
      <c r="C121" s="701" t="s">
        <v>853</v>
      </c>
      <c r="D121" s="702">
        <v>11118</v>
      </c>
      <c r="E121" s="700" t="s">
        <v>875</v>
      </c>
      <c r="F121" s="643" t="s">
        <v>196</v>
      </c>
      <c r="G121" s="632">
        <v>40911</v>
      </c>
      <c r="H121" s="632">
        <f t="shared" si="0"/>
        <v>41275</v>
      </c>
      <c r="I121" s="701">
        <v>1619</v>
      </c>
      <c r="J121" s="701" t="s">
        <v>759</v>
      </c>
      <c r="K121" s="701" t="s">
        <v>312</v>
      </c>
      <c r="L121" s="701"/>
      <c r="M121" s="701"/>
      <c r="N121" s="703">
        <v>459.44900000000001</v>
      </c>
      <c r="O121" s="704"/>
      <c r="P121" s="704"/>
      <c r="Q121" s="704"/>
    </row>
    <row r="122" spans="1:17" s="639" customFormat="1" ht="11.25">
      <c r="A122" s="711">
        <v>42</v>
      </c>
      <c r="B122" s="712" t="s">
        <v>911</v>
      </c>
      <c r="C122" s="713" t="s">
        <v>671</v>
      </c>
      <c r="D122" s="714">
        <v>9203</v>
      </c>
      <c r="E122" s="700" t="s">
        <v>751</v>
      </c>
      <c r="F122" s="643" t="s">
        <v>912</v>
      </c>
      <c r="G122" s="632">
        <v>40581</v>
      </c>
      <c r="H122" s="632">
        <f>G122+450</f>
        <v>41031</v>
      </c>
      <c r="I122" s="701">
        <v>1619</v>
      </c>
      <c r="J122" s="701" t="s">
        <v>863</v>
      </c>
      <c r="K122" s="735">
        <v>1535</v>
      </c>
      <c r="L122" s="701"/>
      <c r="M122" s="701"/>
      <c r="N122" s="703">
        <v>1301.9849999999999</v>
      </c>
      <c r="O122" s="704"/>
      <c r="P122" s="704"/>
      <c r="Q122" s="704"/>
    </row>
    <row r="123" spans="1:17" s="639" customFormat="1" ht="11.25">
      <c r="A123" s="711"/>
      <c r="B123" s="715"/>
      <c r="C123" s="713"/>
      <c r="D123" s="714"/>
      <c r="E123" s="700" t="s">
        <v>851</v>
      </c>
      <c r="F123" s="643" t="s">
        <v>885</v>
      </c>
      <c r="G123" s="632">
        <v>40603</v>
      </c>
      <c r="H123" s="632">
        <f>G123+540-1</f>
        <v>41142</v>
      </c>
      <c r="I123" s="701">
        <v>1619</v>
      </c>
      <c r="J123" s="701" t="s">
        <v>759</v>
      </c>
      <c r="K123" s="701" t="s">
        <v>312</v>
      </c>
      <c r="L123" s="701"/>
      <c r="M123" s="701"/>
      <c r="N123" s="703">
        <v>409.56900000000002</v>
      </c>
      <c r="O123" s="704"/>
      <c r="P123" s="704"/>
      <c r="Q123" s="704"/>
    </row>
    <row r="124" spans="1:17" s="639" customFormat="1" ht="22.5">
      <c r="A124" s="711">
        <v>43</v>
      </c>
      <c r="B124" s="712" t="s">
        <v>883</v>
      </c>
      <c r="C124" s="701" t="s">
        <v>671</v>
      </c>
      <c r="D124" s="714">
        <v>11827</v>
      </c>
      <c r="E124" s="700" t="s">
        <v>751</v>
      </c>
      <c r="F124" s="643" t="s">
        <v>884</v>
      </c>
      <c r="G124" s="632">
        <v>40618</v>
      </c>
      <c r="H124" s="632">
        <v>41067</v>
      </c>
      <c r="I124" s="701">
        <v>1619</v>
      </c>
      <c r="J124" s="701" t="s">
        <v>863</v>
      </c>
      <c r="K124" s="735">
        <v>3283</v>
      </c>
      <c r="L124" s="701"/>
      <c r="M124" s="701"/>
      <c r="N124" s="703">
        <v>4349.0919999999996</v>
      </c>
      <c r="O124" s="704"/>
      <c r="P124" s="704"/>
      <c r="Q124" s="704"/>
    </row>
    <row r="125" spans="1:17" s="639" customFormat="1" ht="11.25">
      <c r="A125" s="711"/>
      <c r="B125" s="715"/>
      <c r="C125" s="681"/>
      <c r="D125" s="714"/>
      <c r="E125" s="700" t="s">
        <v>851</v>
      </c>
      <c r="F125" s="643" t="s">
        <v>885</v>
      </c>
      <c r="G125" s="632">
        <v>40603</v>
      </c>
      <c r="H125" s="632">
        <f>G125+540-1</f>
        <v>41142</v>
      </c>
      <c r="I125" s="701">
        <v>1619</v>
      </c>
      <c r="J125" s="701" t="s">
        <v>759</v>
      </c>
      <c r="K125" s="701" t="s">
        <v>312</v>
      </c>
      <c r="L125" s="701"/>
      <c r="M125" s="701"/>
      <c r="N125" s="703">
        <v>595.74900000000002</v>
      </c>
      <c r="O125" s="704"/>
      <c r="P125" s="704"/>
      <c r="Q125" s="704"/>
    </row>
    <row r="126" spans="1:17" s="639" customFormat="1" ht="11.25">
      <c r="A126" s="681">
        <v>44</v>
      </c>
      <c r="B126" s="700" t="s">
        <v>913</v>
      </c>
      <c r="C126" s="701" t="s">
        <v>853</v>
      </c>
      <c r="D126" s="702">
        <v>16973</v>
      </c>
      <c r="E126" s="700" t="s">
        <v>875</v>
      </c>
      <c r="F126" s="643" t="s">
        <v>196</v>
      </c>
      <c r="G126" s="632">
        <v>40911</v>
      </c>
      <c r="H126" s="632">
        <f t="shared" ref="H126:H129" si="1">G126+365-1</f>
        <v>41275</v>
      </c>
      <c r="I126" s="701">
        <v>1619</v>
      </c>
      <c r="J126" s="701" t="s">
        <v>759</v>
      </c>
      <c r="K126" s="701" t="s">
        <v>312</v>
      </c>
      <c r="L126" s="701"/>
      <c r="M126" s="701"/>
      <c r="N126" s="703">
        <v>722.95699999999999</v>
      </c>
      <c r="O126" s="704"/>
      <c r="P126" s="704"/>
      <c r="Q126" s="704"/>
    </row>
    <row r="127" spans="1:17" s="639" customFormat="1" ht="22.5">
      <c r="A127" s="681">
        <v>45</v>
      </c>
      <c r="B127" s="700" t="s">
        <v>914</v>
      </c>
      <c r="C127" s="701" t="s">
        <v>853</v>
      </c>
      <c r="D127" s="702">
        <v>18065</v>
      </c>
      <c r="E127" s="700" t="s">
        <v>875</v>
      </c>
      <c r="F127" s="643" t="s">
        <v>196</v>
      </c>
      <c r="G127" s="632">
        <v>40911</v>
      </c>
      <c r="H127" s="632">
        <f t="shared" si="1"/>
        <v>41275</v>
      </c>
      <c r="I127" s="701">
        <v>1619</v>
      </c>
      <c r="J127" s="701" t="s">
        <v>759</v>
      </c>
      <c r="K127" s="701" t="s">
        <v>312</v>
      </c>
      <c r="L127" s="701"/>
      <c r="M127" s="701"/>
      <c r="N127" s="703">
        <v>743.22699999999998</v>
      </c>
      <c r="O127" s="704"/>
      <c r="P127" s="704"/>
      <c r="Q127" s="704"/>
    </row>
    <row r="128" spans="1:17" s="639" customFormat="1" ht="11.25">
      <c r="A128" s="681"/>
      <c r="B128" s="716" t="s">
        <v>842</v>
      </c>
      <c r="C128" s="716"/>
      <c r="D128" s="717"/>
      <c r="E128" s="718"/>
      <c r="F128" s="719"/>
      <c r="G128" s="720"/>
      <c r="H128" s="720"/>
      <c r="I128" s="719"/>
      <c r="J128" s="719"/>
      <c r="K128" s="719"/>
      <c r="L128" s="719"/>
      <c r="M128" s="719"/>
      <c r="N128" s="717">
        <f>SUM(N118:N127)</f>
        <v>13215.819</v>
      </c>
      <c r="O128" s="718"/>
      <c r="P128" s="718"/>
      <c r="Q128" s="718"/>
    </row>
    <row r="129" spans="1:17" s="639" customFormat="1" ht="22.5">
      <c r="A129" s="681">
        <v>46</v>
      </c>
      <c r="B129" s="700" t="s">
        <v>915</v>
      </c>
      <c r="C129" s="701" t="s">
        <v>853</v>
      </c>
      <c r="D129" s="702">
        <v>20792</v>
      </c>
      <c r="E129" s="700" t="s">
        <v>875</v>
      </c>
      <c r="F129" s="643" t="s">
        <v>196</v>
      </c>
      <c r="G129" s="632">
        <v>40911</v>
      </c>
      <c r="H129" s="632">
        <f t="shared" si="1"/>
        <v>41275</v>
      </c>
      <c r="I129" s="701">
        <v>1619</v>
      </c>
      <c r="J129" s="701" t="s">
        <v>759</v>
      </c>
      <c r="K129" s="701" t="s">
        <v>312</v>
      </c>
      <c r="L129" s="701"/>
      <c r="M129" s="701"/>
      <c r="N129" s="703">
        <v>837.81899999999996</v>
      </c>
      <c r="O129" s="704"/>
      <c r="P129" s="704"/>
      <c r="Q129" s="704"/>
    </row>
    <row r="130" spans="1:17" s="639" customFormat="1" ht="11.25">
      <c r="A130" s="681"/>
      <c r="B130" s="716" t="s">
        <v>842</v>
      </c>
      <c r="C130" s="716"/>
      <c r="D130" s="717"/>
      <c r="E130" s="718"/>
      <c r="F130" s="719"/>
      <c r="G130" s="720"/>
      <c r="H130" s="720"/>
      <c r="I130" s="719"/>
      <c r="J130" s="719"/>
      <c r="K130" s="719"/>
      <c r="L130" s="719"/>
      <c r="M130" s="719"/>
      <c r="N130" s="717">
        <f>SUM(N129)</f>
        <v>837.81899999999996</v>
      </c>
      <c r="O130" s="718"/>
      <c r="P130" s="718"/>
      <c r="Q130" s="718"/>
    </row>
    <row r="131" spans="1:17" s="639" customFormat="1" ht="45">
      <c r="A131" s="681">
        <v>47</v>
      </c>
      <c r="B131" s="700" t="s">
        <v>872</v>
      </c>
      <c r="C131" s="701" t="s">
        <v>855</v>
      </c>
      <c r="D131" s="631">
        <f>N131</f>
        <v>15036.84</v>
      </c>
      <c r="E131" s="700" t="s">
        <v>751</v>
      </c>
      <c r="F131" s="701" t="s">
        <v>916</v>
      </c>
      <c r="G131" s="632">
        <v>40415</v>
      </c>
      <c r="H131" s="632">
        <v>41045</v>
      </c>
      <c r="I131" s="701">
        <v>1619</v>
      </c>
      <c r="J131" s="701" t="s">
        <v>863</v>
      </c>
      <c r="K131" s="735">
        <v>12700</v>
      </c>
      <c r="L131" s="701"/>
      <c r="M131" s="681"/>
      <c r="N131" s="703">
        <v>15036.84</v>
      </c>
      <c r="O131" s="704"/>
      <c r="P131" s="704"/>
      <c r="Q131" s="704"/>
    </row>
    <row r="132" spans="1:17" s="639" customFormat="1" ht="11.25">
      <c r="A132" s="681">
        <v>48</v>
      </c>
      <c r="B132" s="700" t="s">
        <v>873</v>
      </c>
      <c r="C132" s="701" t="s">
        <v>855</v>
      </c>
      <c r="D132" s="631">
        <f>N132</f>
        <v>551.375</v>
      </c>
      <c r="E132" s="700" t="s">
        <v>751</v>
      </c>
      <c r="F132" s="643" t="s">
        <v>196</v>
      </c>
      <c r="G132" s="632">
        <v>40909</v>
      </c>
      <c r="H132" s="632">
        <v>40939</v>
      </c>
      <c r="I132" s="701">
        <v>1619</v>
      </c>
      <c r="J132" s="701" t="s">
        <v>759</v>
      </c>
      <c r="K132" s="701" t="s">
        <v>312</v>
      </c>
      <c r="L132" s="701"/>
      <c r="M132" s="681"/>
      <c r="N132" s="703">
        <v>551.375</v>
      </c>
      <c r="O132" s="704"/>
      <c r="P132" s="704"/>
      <c r="Q132" s="704"/>
    </row>
    <row r="133" spans="1:17" s="639" customFormat="1" ht="45">
      <c r="A133" s="711">
        <v>49</v>
      </c>
      <c r="B133" s="712" t="s">
        <v>917</v>
      </c>
      <c r="C133" s="713" t="s">
        <v>855</v>
      </c>
      <c r="D133" s="736">
        <f>N133</f>
        <v>4427.1480000000001</v>
      </c>
      <c r="E133" s="700" t="s">
        <v>751</v>
      </c>
      <c r="F133" s="701" t="s">
        <v>916</v>
      </c>
      <c r="G133" s="632">
        <v>40415</v>
      </c>
      <c r="H133" s="632">
        <v>41045</v>
      </c>
      <c r="I133" s="701">
        <v>1619</v>
      </c>
      <c r="J133" s="701" t="s">
        <v>863</v>
      </c>
      <c r="K133" s="735">
        <v>2288</v>
      </c>
      <c r="L133" s="701"/>
      <c r="M133" s="681"/>
      <c r="N133" s="703">
        <v>4427.1480000000001</v>
      </c>
      <c r="O133" s="704"/>
      <c r="P133" s="704"/>
      <c r="Q133" s="704"/>
    </row>
    <row r="134" spans="1:17" s="639" customFormat="1" ht="11.25">
      <c r="A134" s="711"/>
      <c r="B134" s="715"/>
      <c r="C134" s="713"/>
      <c r="D134" s="736"/>
      <c r="E134" s="700" t="s">
        <v>881</v>
      </c>
      <c r="F134" s="643" t="s">
        <v>196</v>
      </c>
      <c r="G134" s="632">
        <v>41127</v>
      </c>
      <c r="H134" s="632">
        <f>G134+460</f>
        <v>41587</v>
      </c>
      <c r="I134" s="701">
        <v>1657</v>
      </c>
      <c r="J134" s="701" t="s">
        <v>759</v>
      </c>
      <c r="K134" s="701" t="s">
        <v>312</v>
      </c>
      <c r="L134" s="701"/>
      <c r="M134" s="681"/>
      <c r="N134" s="703">
        <v>557</v>
      </c>
      <c r="O134" s="704"/>
      <c r="P134" s="704"/>
      <c r="Q134" s="704"/>
    </row>
    <row r="135" spans="1:17" s="639" customFormat="1" ht="11.25">
      <c r="A135" s="711"/>
      <c r="B135" s="715"/>
      <c r="C135" s="713"/>
      <c r="D135" s="736"/>
      <c r="E135" s="700" t="s">
        <v>875</v>
      </c>
      <c r="F135" s="643" t="s">
        <v>196</v>
      </c>
      <c r="G135" s="632">
        <v>40909</v>
      </c>
      <c r="H135" s="632">
        <v>41274</v>
      </c>
      <c r="I135" s="701">
        <v>1619</v>
      </c>
      <c r="J135" s="701" t="s">
        <v>759</v>
      </c>
      <c r="K135" s="701" t="s">
        <v>312</v>
      </c>
      <c r="L135" s="701"/>
      <c r="M135" s="681"/>
      <c r="N135" s="703">
        <v>614.71900000000005</v>
      </c>
      <c r="O135" s="704"/>
      <c r="P135" s="704"/>
      <c r="Q135" s="704"/>
    </row>
    <row r="136" spans="1:17" s="639" customFormat="1" ht="11.25">
      <c r="A136" s="681"/>
      <c r="B136" s="716" t="s">
        <v>842</v>
      </c>
      <c r="C136" s="716"/>
      <c r="D136" s="717"/>
      <c r="E136" s="718"/>
      <c r="F136" s="719"/>
      <c r="G136" s="720"/>
      <c r="H136" s="720"/>
      <c r="I136" s="719"/>
      <c r="J136" s="719"/>
      <c r="K136" s="719"/>
      <c r="L136" s="719"/>
      <c r="M136" s="719"/>
      <c r="N136" s="717">
        <f>SUM(N131:N135)</f>
        <v>21187.082000000002</v>
      </c>
      <c r="O136" s="718"/>
      <c r="P136" s="718"/>
      <c r="Q136" s="718"/>
    </row>
    <row r="137" spans="1:17" s="639" customFormat="1" ht="22.5">
      <c r="A137" s="681">
        <v>50</v>
      </c>
      <c r="B137" s="700" t="s">
        <v>918</v>
      </c>
      <c r="C137" s="701" t="s">
        <v>855</v>
      </c>
      <c r="D137" s="702">
        <v>2030</v>
      </c>
      <c r="E137" s="700" t="s">
        <v>881</v>
      </c>
      <c r="F137" s="643" t="s">
        <v>196</v>
      </c>
      <c r="G137" s="632">
        <v>41113</v>
      </c>
      <c r="H137" s="632">
        <f>G137+360-1</f>
        <v>41472</v>
      </c>
      <c r="I137" s="701">
        <v>1619</v>
      </c>
      <c r="J137" s="701" t="s">
        <v>759</v>
      </c>
      <c r="K137" s="701" t="s">
        <v>312</v>
      </c>
      <c r="L137" s="701"/>
      <c r="M137" s="701"/>
      <c r="N137" s="703">
        <v>793.44200000000001</v>
      </c>
      <c r="O137" s="704"/>
      <c r="P137" s="704"/>
      <c r="Q137" s="704"/>
    </row>
    <row r="138" spans="1:17" s="639" customFormat="1" ht="11.25">
      <c r="A138" s="681"/>
      <c r="B138" s="716" t="s">
        <v>842</v>
      </c>
      <c r="C138" s="716"/>
      <c r="D138" s="717"/>
      <c r="E138" s="718"/>
      <c r="F138" s="719"/>
      <c r="G138" s="720"/>
      <c r="H138" s="720"/>
      <c r="I138" s="719"/>
      <c r="J138" s="719"/>
      <c r="K138" s="719"/>
      <c r="L138" s="719"/>
      <c r="M138" s="719"/>
      <c r="N138" s="717">
        <f>SUM(N137)</f>
        <v>793.44200000000001</v>
      </c>
      <c r="O138" s="718"/>
      <c r="P138" s="718"/>
      <c r="Q138" s="718"/>
    </row>
    <row r="139" spans="1:17" s="639" customFormat="1" ht="11.25">
      <c r="A139" s="681">
        <v>51</v>
      </c>
      <c r="B139" s="700" t="s">
        <v>919</v>
      </c>
      <c r="C139" s="701" t="s">
        <v>855</v>
      </c>
      <c r="D139" s="702">
        <f>N139</f>
        <v>1575.0250000000001</v>
      </c>
      <c r="E139" s="700" t="s">
        <v>751</v>
      </c>
      <c r="F139" s="643" t="s">
        <v>196</v>
      </c>
      <c r="G139" s="632">
        <v>40973</v>
      </c>
      <c r="H139" s="632">
        <v>41232</v>
      </c>
      <c r="I139" s="701">
        <v>1621</v>
      </c>
      <c r="J139" s="701" t="s">
        <v>759</v>
      </c>
      <c r="K139" s="701" t="s">
        <v>312</v>
      </c>
      <c r="L139" s="701"/>
      <c r="M139" s="701"/>
      <c r="N139" s="703">
        <v>1575.0250000000001</v>
      </c>
      <c r="O139" s="704"/>
      <c r="P139" s="704"/>
      <c r="Q139" s="704"/>
    </row>
    <row r="140" spans="1:17" s="639" customFormat="1" ht="11.25">
      <c r="A140" s="681"/>
      <c r="B140" s="737" t="s">
        <v>842</v>
      </c>
      <c r="C140" s="737"/>
      <c r="D140" s="738"/>
      <c r="E140" s="739"/>
      <c r="F140" s="740"/>
      <c r="G140" s="741"/>
      <c r="H140" s="741"/>
      <c r="I140" s="740"/>
      <c r="J140" s="740"/>
      <c r="K140" s="740"/>
      <c r="L140" s="740"/>
      <c r="M140" s="740"/>
      <c r="N140" s="742">
        <f>SUM(N139)</f>
        <v>1575.0250000000001</v>
      </c>
      <c r="O140" s="739"/>
      <c r="P140" s="739"/>
      <c r="Q140" s="739"/>
    </row>
    <row r="141" spans="1:17" s="639" customFormat="1" ht="11.25">
      <c r="A141" s="681">
        <v>52</v>
      </c>
      <c r="B141" s="700" t="s">
        <v>920</v>
      </c>
      <c r="C141" s="701" t="s">
        <v>855</v>
      </c>
      <c r="D141" s="702">
        <f>N141</f>
        <v>3636.4029999999998</v>
      </c>
      <c r="E141" s="700" t="s">
        <v>895</v>
      </c>
      <c r="F141" s="701" t="s">
        <v>196</v>
      </c>
      <c r="G141" s="632">
        <v>40909</v>
      </c>
      <c r="H141" s="632">
        <v>41274</v>
      </c>
      <c r="I141" s="701"/>
      <c r="J141" s="701" t="s">
        <v>759</v>
      </c>
      <c r="K141" s="701" t="s">
        <v>312</v>
      </c>
      <c r="L141" s="701"/>
      <c r="M141" s="701"/>
      <c r="N141" s="703">
        <v>3636.4029999999998</v>
      </c>
      <c r="O141" s="704"/>
      <c r="P141" s="704"/>
      <c r="Q141" s="704"/>
    </row>
    <row r="142" spans="1:17" s="639" customFormat="1" ht="11.25">
      <c r="A142" s="743"/>
      <c r="B142" s="716" t="s">
        <v>842</v>
      </c>
      <c r="C142" s="716"/>
      <c r="D142" s="716"/>
      <c r="E142" s="718"/>
      <c r="F142" s="719"/>
      <c r="G142" s="720"/>
      <c r="H142" s="720"/>
      <c r="I142" s="719"/>
      <c r="J142" s="719"/>
      <c r="K142" s="719"/>
      <c r="L142" s="719"/>
      <c r="M142" s="719"/>
      <c r="N142" s="717">
        <f>SUM(N141)</f>
        <v>3636.4029999999998</v>
      </c>
      <c r="O142" s="718"/>
      <c r="P142" s="718"/>
      <c r="Q142" s="718"/>
    </row>
    <row r="143" spans="1:17" s="639" customFormat="1" ht="11.25">
      <c r="A143" s="743"/>
      <c r="B143" s="727" t="s">
        <v>921</v>
      </c>
      <c r="C143" s="728"/>
      <c r="D143" s="744"/>
      <c r="E143" s="727"/>
      <c r="F143" s="728"/>
      <c r="G143" s="730"/>
      <c r="H143" s="730"/>
      <c r="I143" s="728"/>
      <c r="J143" s="728"/>
      <c r="K143" s="728"/>
      <c r="L143" s="728"/>
      <c r="M143" s="728"/>
      <c r="N143" s="731">
        <f>N113+N115+N117+N128+N130++N136+N138+N140+N142</f>
        <v>54056.054000000004</v>
      </c>
      <c r="O143" s="732"/>
      <c r="P143" s="732"/>
      <c r="Q143" s="732"/>
    </row>
    <row r="144" spans="1:17" s="639" customFormat="1" ht="11.25">
      <c r="A144" s="743"/>
      <c r="B144" s="716" t="s">
        <v>922</v>
      </c>
      <c r="C144" s="716"/>
      <c r="D144" s="716"/>
      <c r="E144" s="718"/>
      <c r="F144" s="719"/>
      <c r="G144" s="720"/>
      <c r="H144" s="720"/>
      <c r="I144" s="719"/>
      <c r="J144" s="719"/>
      <c r="K144" s="719"/>
      <c r="L144" s="719"/>
      <c r="M144" s="719"/>
      <c r="N144" s="717">
        <f>N143+N105</f>
        <v>130089.04400000001</v>
      </c>
      <c r="O144" s="718"/>
      <c r="P144" s="718"/>
      <c r="Q144" s="718"/>
    </row>
  </sheetData>
  <mergeCells count="162">
    <mergeCell ref="A133:A135"/>
    <mergeCell ref="B133:B135"/>
    <mergeCell ref="C133:C135"/>
    <mergeCell ref="D133:D135"/>
    <mergeCell ref="N111:N112"/>
    <mergeCell ref="A122:A123"/>
    <mergeCell ref="B122:B123"/>
    <mergeCell ref="C122:C123"/>
    <mergeCell ref="D122:D123"/>
    <mergeCell ref="A124:A125"/>
    <mergeCell ref="B124:B125"/>
    <mergeCell ref="D124:D125"/>
    <mergeCell ref="A109:A110"/>
    <mergeCell ref="B109:B110"/>
    <mergeCell ref="C109:C110"/>
    <mergeCell ref="D109:D110"/>
    <mergeCell ref="A111:A112"/>
    <mergeCell ref="B111:B112"/>
    <mergeCell ref="C111:C112"/>
    <mergeCell ref="D111:D112"/>
    <mergeCell ref="A90:A93"/>
    <mergeCell ref="B90:B93"/>
    <mergeCell ref="C90:C93"/>
    <mergeCell ref="D90:D93"/>
    <mergeCell ref="A94:A96"/>
    <mergeCell ref="B94:B96"/>
    <mergeCell ref="C94:C96"/>
    <mergeCell ref="D94:D96"/>
    <mergeCell ref="A84:A85"/>
    <mergeCell ref="B84:B85"/>
    <mergeCell ref="C84:C85"/>
    <mergeCell ref="D84:D85"/>
    <mergeCell ref="A88:A89"/>
    <mergeCell ref="B88:B89"/>
    <mergeCell ref="D88:D89"/>
    <mergeCell ref="A75:A76"/>
    <mergeCell ref="B75:B76"/>
    <mergeCell ref="C75:C76"/>
    <mergeCell ref="D75:D76"/>
    <mergeCell ref="A81:A82"/>
    <mergeCell ref="B81:B82"/>
    <mergeCell ref="C81:C82"/>
    <mergeCell ref="D81:D82"/>
    <mergeCell ref="A69:A70"/>
    <mergeCell ref="B69:B70"/>
    <mergeCell ref="C69:C70"/>
    <mergeCell ref="D69:D70"/>
    <mergeCell ref="A71:A73"/>
    <mergeCell ref="B71:B73"/>
    <mergeCell ref="C71:C73"/>
    <mergeCell ref="D71:D73"/>
    <mergeCell ref="A61:A62"/>
    <mergeCell ref="B61:B62"/>
    <mergeCell ref="C61:C62"/>
    <mergeCell ref="D61:D62"/>
    <mergeCell ref="A63:A64"/>
    <mergeCell ref="B63:B64"/>
    <mergeCell ref="C63:C64"/>
    <mergeCell ref="D63:D64"/>
    <mergeCell ref="A47:Q47"/>
    <mergeCell ref="A52:A54"/>
    <mergeCell ref="B52:B54"/>
    <mergeCell ref="C52:C54"/>
    <mergeCell ref="D52:D54"/>
    <mergeCell ref="A55:A57"/>
    <mergeCell ref="B55:B57"/>
    <mergeCell ref="C55:C57"/>
    <mergeCell ref="D55:D57"/>
    <mergeCell ref="A35:Q35"/>
    <mergeCell ref="A36:A38"/>
    <mergeCell ref="B36:B38"/>
    <mergeCell ref="C36:C38"/>
    <mergeCell ref="D36:D38"/>
    <mergeCell ref="E36:E38"/>
    <mergeCell ref="F36:F38"/>
    <mergeCell ref="G36:G38"/>
    <mergeCell ref="H36:H38"/>
    <mergeCell ref="N36:N38"/>
    <mergeCell ref="Q27:Q28"/>
    <mergeCell ref="J29:J30"/>
    <mergeCell ref="K29:K30"/>
    <mergeCell ref="L29:L30"/>
    <mergeCell ref="M29:M30"/>
    <mergeCell ref="N29:N30"/>
    <mergeCell ref="O29:O30"/>
    <mergeCell ref="P29:P30"/>
    <mergeCell ref="Q29:Q30"/>
    <mergeCell ref="P25:P26"/>
    <mergeCell ref="Q25:Q26"/>
    <mergeCell ref="I27:I28"/>
    <mergeCell ref="J27:J28"/>
    <mergeCell ref="K27:K28"/>
    <mergeCell ref="L27:L28"/>
    <mergeCell ref="M27:M28"/>
    <mergeCell ref="N27:N28"/>
    <mergeCell ref="O27:O28"/>
    <mergeCell ref="P27:P28"/>
    <mergeCell ref="J25:J26"/>
    <mergeCell ref="K25:K26"/>
    <mergeCell ref="L25:L26"/>
    <mergeCell ref="M25:M26"/>
    <mergeCell ref="N25:N26"/>
    <mergeCell ref="O25:O26"/>
    <mergeCell ref="Q21:Q22"/>
    <mergeCell ref="J23:J24"/>
    <mergeCell ref="K23:K24"/>
    <mergeCell ref="L23:L24"/>
    <mergeCell ref="M23:M24"/>
    <mergeCell ref="N23:N24"/>
    <mergeCell ref="O23:O24"/>
    <mergeCell ref="P23:P24"/>
    <mergeCell ref="Q23:Q24"/>
    <mergeCell ref="P19:P20"/>
    <mergeCell ref="Q19:Q20"/>
    <mergeCell ref="I21:I22"/>
    <mergeCell ref="J21:J22"/>
    <mergeCell ref="K21:K22"/>
    <mergeCell ref="L21:L22"/>
    <mergeCell ref="M21:M22"/>
    <mergeCell ref="N21:N22"/>
    <mergeCell ref="O21:O22"/>
    <mergeCell ref="P21:P22"/>
    <mergeCell ref="O17:O18"/>
    <mergeCell ref="P17:P18"/>
    <mergeCell ref="Q17:Q18"/>
    <mergeCell ref="I19:I20"/>
    <mergeCell ref="J19:J20"/>
    <mergeCell ref="K19:K20"/>
    <mergeCell ref="L19:L20"/>
    <mergeCell ref="M19:M20"/>
    <mergeCell ref="N19:N20"/>
    <mergeCell ref="O19:O20"/>
    <mergeCell ref="N15:N16"/>
    <mergeCell ref="O15:O16"/>
    <mergeCell ref="P15:P16"/>
    <mergeCell ref="Q15:Q16"/>
    <mergeCell ref="I17:I18"/>
    <mergeCell ref="J17:J18"/>
    <mergeCell ref="K17:K18"/>
    <mergeCell ref="L17:L18"/>
    <mergeCell ref="M17:M18"/>
    <mergeCell ref="N17:N18"/>
    <mergeCell ref="J4:J5"/>
    <mergeCell ref="K4:M4"/>
    <mergeCell ref="N4:P4"/>
    <mergeCell ref="Q4:Q5"/>
    <mergeCell ref="A7:Q7"/>
    <mergeCell ref="I15:I16"/>
    <mergeCell ref="J15:J16"/>
    <mergeCell ref="K15:K16"/>
    <mergeCell ref="L15:L16"/>
    <mergeCell ref="M15:M16"/>
    <mergeCell ref="A1:Q1"/>
    <mergeCell ref="A2:Q2"/>
    <mergeCell ref="A4:A5"/>
    <mergeCell ref="B4:B5"/>
    <mergeCell ref="C4:C5"/>
    <mergeCell ref="D4:D5"/>
    <mergeCell ref="E4:E5"/>
    <mergeCell ref="F4:F5"/>
    <mergeCell ref="G4:H4"/>
    <mergeCell ref="I4:I5"/>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R37"/>
  <sheetViews>
    <sheetView workbookViewId="0">
      <pane xSplit="5" ySplit="6" topLeftCell="L7" activePane="bottomRight" state="frozen"/>
      <selection pane="topRight" activeCell="F1" sqref="F1"/>
      <selection pane="bottomLeft" activeCell="A7" sqref="A7"/>
      <selection pane="bottomRight" activeCell="A2" sqref="A2:Q2"/>
    </sheetView>
  </sheetViews>
  <sheetFormatPr baseColWidth="10" defaultRowHeight="15"/>
  <cols>
    <col min="1" max="1" width="5.7109375" customWidth="1"/>
    <col min="5" max="5" width="40.7109375" style="188" customWidth="1"/>
    <col min="9" max="9" width="15.7109375" customWidth="1"/>
    <col min="14" max="14" width="14.42578125" customWidth="1"/>
    <col min="17" max="17" width="25.85546875" customWidth="1"/>
  </cols>
  <sheetData>
    <row r="1" spans="1:18" ht="18.75">
      <c r="A1" s="424" t="s">
        <v>0</v>
      </c>
      <c r="B1" s="425"/>
      <c r="C1" s="425"/>
      <c r="D1" s="425"/>
      <c r="E1" s="425"/>
      <c r="F1" s="425"/>
      <c r="G1" s="425"/>
      <c r="H1" s="425"/>
      <c r="I1" s="425"/>
      <c r="J1" s="425"/>
      <c r="K1" s="425"/>
      <c r="L1" s="425"/>
      <c r="M1" s="425"/>
      <c r="N1" s="425"/>
      <c r="O1" s="425"/>
      <c r="P1" s="425"/>
      <c r="Q1" s="425"/>
      <c r="R1" s="66" t="s">
        <v>14</v>
      </c>
    </row>
    <row r="2" spans="1:18" ht="18.75">
      <c r="A2" s="424" t="s">
        <v>604</v>
      </c>
      <c r="B2" s="425"/>
      <c r="C2" s="425"/>
      <c r="D2" s="425"/>
      <c r="E2" s="425"/>
      <c r="F2" s="425"/>
      <c r="G2" s="425"/>
      <c r="H2" s="425"/>
      <c r="I2" s="425"/>
      <c r="J2" s="425"/>
      <c r="K2" s="425"/>
      <c r="L2" s="425"/>
      <c r="M2" s="425"/>
      <c r="N2" s="425"/>
      <c r="O2" s="425"/>
      <c r="P2" s="425"/>
      <c r="Q2" s="425"/>
      <c r="R2" s="66" t="s">
        <v>15</v>
      </c>
    </row>
    <row r="3" spans="1:18" ht="18.75">
      <c r="A3" s="426" t="s">
        <v>25</v>
      </c>
      <c r="B3" s="425"/>
      <c r="C3" s="425"/>
      <c r="D3" s="425"/>
      <c r="E3" s="425"/>
      <c r="F3" s="425"/>
      <c r="G3" s="425"/>
      <c r="H3" s="425"/>
      <c r="I3" s="425"/>
      <c r="J3" s="425"/>
      <c r="K3" s="425"/>
      <c r="L3" s="425"/>
      <c r="M3" s="425"/>
      <c r="N3" s="425"/>
      <c r="O3" s="425"/>
      <c r="P3" s="425"/>
      <c r="Q3" s="425"/>
      <c r="R3" s="66" t="s">
        <v>160</v>
      </c>
    </row>
    <row r="4" spans="1:18" ht="15.75" thickBot="1">
      <c r="A4" s="67"/>
      <c r="B4" s="54"/>
      <c r="C4" s="54"/>
      <c r="D4" s="54"/>
      <c r="E4" s="55"/>
      <c r="F4" s="54"/>
      <c r="G4" s="54"/>
      <c r="H4" s="54"/>
      <c r="I4" s="54"/>
      <c r="J4" s="54"/>
      <c r="K4" s="54"/>
      <c r="L4" s="54"/>
      <c r="M4" s="54"/>
      <c r="N4" s="54"/>
      <c r="O4" s="54"/>
      <c r="P4" s="54"/>
      <c r="Q4" s="54"/>
    </row>
    <row r="5" spans="1:18" ht="16.5" thickTop="1" thickBot="1">
      <c r="A5" s="411" t="s">
        <v>1</v>
      </c>
      <c r="B5" s="411" t="s">
        <v>2</v>
      </c>
      <c r="C5" s="409" t="s">
        <v>3</v>
      </c>
      <c r="D5" s="409" t="s">
        <v>19</v>
      </c>
      <c r="E5" s="409" t="s">
        <v>4</v>
      </c>
      <c r="F5" s="409" t="s">
        <v>5</v>
      </c>
      <c r="G5" s="422" t="s">
        <v>17</v>
      </c>
      <c r="H5" s="423"/>
      <c r="I5" s="409" t="s">
        <v>6</v>
      </c>
      <c r="J5" s="411" t="s">
        <v>7</v>
      </c>
      <c r="K5" s="413" t="s">
        <v>8</v>
      </c>
      <c r="L5" s="413"/>
      <c r="M5" s="413"/>
      <c r="N5" s="413" t="s">
        <v>9</v>
      </c>
      <c r="O5" s="414"/>
      <c r="P5" s="414"/>
      <c r="Q5" s="415" t="s">
        <v>161</v>
      </c>
    </row>
    <row r="6" spans="1:18" ht="39.75" thickTop="1" thickBot="1">
      <c r="A6" s="412"/>
      <c r="B6" s="412"/>
      <c r="C6" s="410"/>
      <c r="D6" s="410"/>
      <c r="E6" s="410"/>
      <c r="F6" s="410"/>
      <c r="G6" s="173" t="s">
        <v>16</v>
      </c>
      <c r="H6" s="173" t="s">
        <v>18</v>
      </c>
      <c r="I6" s="410"/>
      <c r="J6" s="412"/>
      <c r="K6" s="136" t="s">
        <v>10</v>
      </c>
      <c r="L6" s="136" t="s">
        <v>24</v>
      </c>
      <c r="M6" s="136" t="s">
        <v>11</v>
      </c>
      <c r="N6" s="136" t="s">
        <v>12</v>
      </c>
      <c r="O6" s="136" t="s">
        <v>24</v>
      </c>
      <c r="P6" s="136" t="s">
        <v>13</v>
      </c>
      <c r="Q6" s="416"/>
    </row>
    <row r="7" spans="1:18" ht="15.75" thickTop="1">
      <c r="A7" s="274">
        <v>1</v>
      </c>
      <c r="B7" s="275" t="s">
        <v>605</v>
      </c>
      <c r="C7" s="276" t="s">
        <v>14</v>
      </c>
      <c r="D7" s="257"/>
      <c r="E7" s="277"/>
      <c r="F7" s="257"/>
      <c r="G7" s="257"/>
      <c r="H7" s="257"/>
      <c r="I7" s="257"/>
      <c r="J7" s="257"/>
      <c r="K7" s="257"/>
      <c r="L7" s="257"/>
      <c r="M7" s="257"/>
      <c r="N7" s="257"/>
      <c r="O7" s="257"/>
      <c r="P7" s="257"/>
      <c r="Q7" s="278"/>
    </row>
    <row r="8" spans="1:18">
      <c r="A8" s="279"/>
      <c r="B8" s="280"/>
      <c r="C8" s="280"/>
      <c r="D8" s="257"/>
      <c r="E8" s="281" t="s">
        <v>606</v>
      </c>
      <c r="F8" s="282"/>
      <c r="G8" s="257"/>
      <c r="H8" s="257"/>
      <c r="I8" s="283"/>
      <c r="J8" s="258"/>
      <c r="K8" s="258"/>
      <c r="L8" s="257"/>
      <c r="M8" s="257"/>
      <c r="N8" s="257"/>
      <c r="O8" s="257"/>
      <c r="P8" s="257"/>
      <c r="Q8" s="284"/>
    </row>
    <row r="9" spans="1:18" ht="24" customHeight="1">
      <c r="A9" s="279"/>
      <c r="B9" s="280"/>
      <c r="C9" s="280"/>
      <c r="D9" s="257"/>
      <c r="E9" s="285" t="s">
        <v>607</v>
      </c>
      <c r="F9" s="283" t="s">
        <v>128</v>
      </c>
      <c r="G9" s="286" t="s">
        <v>128</v>
      </c>
      <c r="H9" s="286" t="s">
        <v>128</v>
      </c>
      <c r="I9" s="283">
        <v>851</v>
      </c>
      <c r="J9" s="287" t="s">
        <v>37</v>
      </c>
      <c r="K9" s="283" t="s">
        <v>128</v>
      </c>
      <c r="L9" s="283"/>
      <c r="M9" s="283"/>
      <c r="N9" s="288">
        <v>208.3</v>
      </c>
      <c r="O9" s="257"/>
      <c r="P9" s="257"/>
      <c r="Q9" s="289"/>
    </row>
    <row r="10" spans="1:18" ht="24" customHeight="1">
      <c r="A10" s="279"/>
      <c r="B10" s="280"/>
      <c r="C10" s="280"/>
      <c r="D10" s="257"/>
      <c r="E10" s="285" t="s">
        <v>608</v>
      </c>
      <c r="F10" s="283" t="s">
        <v>609</v>
      </c>
      <c r="G10" s="286" t="s">
        <v>610</v>
      </c>
      <c r="H10" s="286" t="s">
        <v>611</v>
      </c>
      <c r="I10" s="283">
        <v>6000</v>
      </c>
      <c r="J10" s="287" t="s">
        <v>612</v>
      </c>
      <c r="K10" s="283" t="s">
        <v>128</v>
      </c>
      <c r="L10" s="283"/>
      <c r="M10" s="283"/>
      <c r="N10" s="288">
        <v>131</v>
      </c>
      <c r="O10" s="257"/>
      <c r="P10" s="257"/>
      <c r="Q10" s="289"/>
    </row>
    <row r="11" spans="1:18" ht="24" customHeight="1">
      <c r="A11" s="279"/>
      <c r="B11" s="280"/>
      <c r="C11" s="280"/>
      <c r="D11" s="257"/>
      <c r="E11" s="285" t="s">
        <v>613</v>
      </c>
      <c r="F11" s="283" t="s">
        <v>128</v>
      </c>
      <c r="G11" s="286" t="s">
        <v>128</v>
      </c>
      <c r="H11" s="286" t="s">
        <v>128</v>
      </c>
      <c r="I11" s="283">
        <v>851</v>
      </c>
      <c r="J11" s="287" t="s">
        <v>614</v>
      </c>
      <c r="K11" s="290">
        <v>41061</v>
      </c>
      <c r="L11" s="283"/>
      <c r="M11" s="283"/>
      <c r="N11" s="288">
        <v>100</v>
      </c>
      <c r="O11" s="257"/>
      <c r="P11" s="257"/>
      <c r="Q11" s="289"/>
    </row>
    <row r="12" spans="1:18" ht="24" customHeight="1">
      <c r="A12" s="279"/>
      <c r="B12" s="280"/>
      <c r="C12" s="280"/>
      <c r="D12" s="257"/>
      <c r="E12" s="285" t="s">
        <v>615</v>
      </c>
      <c r="F12" s="283" t="s">
        <v>128</v>
      </c>
      <c r="G12" s="286" t="s">
        <v>128</v>
      </c>
      <c r="H12" s="286" t="s">
        <v>128</v>
      </c>
      <c r="I12" s="283">
        <v>851</v>
      </c>
      <c r="J12" s="287" t="s">
        <v>614</v>
      </c>
      <c r="K12" s="290">
        <v>41122</v>
      </c>
      <c r="L12" s="283"/>
      <c r="M12" s="283"/>
      <c r="N12" s="288">
        <v>100</v>
      </c>
      <c r="O12" s="257"/>
      <c r="P12" s="257"/>
      <c r="Q12" s="289"/>
    </row>
    <row r="13" spans="1:18" ht="24" customHeight="1">
      <c r="A13" s="279"/>
      <c r="B13" s="280"/>
      <c r="C13" s="280"/>
      <c r="D13" s="257"/>
      <c r="E13" s="285" t="s">
        <v>616</v>
      </c>
      <c r="F13" s="283" t="s">
        <v>128</v>
      </c>
      <c r="G13" s="286" t="s">
        <v>128</v>
      </c>
      <c r="H13" s="286" t="s">
        <v>128</v>
      </c>
      <c r="I13" s="283">
        <v>851</v>
      </c>
      <c r="J13" s="287" t="s">
        <v>614</v>
      </c>
      <c r="K13" s="290">
        <v>40940</v>
      </c>
      <c r="L13" s="283"/>
      <c r="M13" s="283"/>
      <c r="N13" s="288">
        <v>100</v>
      </c>
      <c r="O13" s="257"/>
      <c r="P13" s="257"/>
      <c r="Q13" s="289"/>
    </row>
    <row r="14" spans="1:18" ht="24" customHeight="1">
      <c r="A14" s="279"/>
      <c r="B14" s="280"/>
      <c r="C14" s="280"/>
      <c r="D14" s="257"/>
      <c r="E14" s="285" t="s">
        <v>617</v>
      </c>
      <c r="F14" s="283" t="s">
        <v>128</v>
      </c>
      <c r="G14" s="286" t="s">
        <v>128</v>
      </c>
      <c r="H14" s="286" t="s">
        <v>128</v>
      </c>
      <c r="I14" s="283">
        <v>851</v>
      </c>
      <c r="J14" s="287" t="s">
        <v>614</v>
      </c>
      <c r="K14" s="290">
        <v>41061</v>
      </c>
      <c r="L14" s="283"/>
      <c r="M14" s="283"/>
      <c r="N14" s="288">
        <v>100</v>
      </c>
      <c r="O14" s="257"/>
      <c r="P14" s="257"/>
      <c r="Q14" s="289"/>
    </row>
    <row r="15" spans="1:18" ht="24" customHeight="1">
      <c r="A15" s="279"/>
      <c r="B15" s="280"/>
      <c r="C15" s="280"/>
      <c r="D15" s="257"/>
      <c r="E15" s="285" t="s">
        <v>618</v>
      </c>
      <c r="F15" s="283" t="s">
        <v>128</v>
      </c>
      <c r="G15" s="286" t="s">
        <v>128</v>
      </c>
      <c r="H15" s="286" t="s">
        <v>128</v>
      </c>
      <c r="I15" s="283">
        <v>851</v>
      </c>
      <c r="J15" s="287" t="s">
        <v>614</v>
      </c>
      <c r="K15" s="290">
        <v>41122</v>
      </c>
      <c r="L15" s="283"/>
      <c r="M15" s="283"/>
      <c r="N15" s="288">
        <v>100</v>
      </c>
      <c r="O15" s="257"/>
      <c r="P15" s="257"/>
      <c r="Q15" s="289"/>
    </row>
    <row r="16" spans="1:18" ht="24" customHeight="1">
      <c r="A16" s="279"/>
      <c r="B16" s="280"/>
      <c r="C16" s="280"/>
      <c r="D16" s="257"/>
      <c r="E16" s="285" t="s">
        <v>619</v>
      </c>
      <c r="F16" s="283" t="s">
        <v>128</v>
      </c>
      <c r="G16" s="286" t="s">
        <v>128</v>
      </c>
      <c r="H16" s="286" t="s">
        <v>128</v>
      </c>
      <c r="I16" s="283">
        <v>851</v>
      </c>
      <c r="J16" s="287" t="s">
        <v>614</v>
      </c>
      <c r="K16" s="290">
        <v>40969</v>
      </c>
      <c r="L16" s="283"/>
      <c r="M16" s="283"/>
      <c r="N16" s="288">
        <v>30</v>
      </c>
      <c r="O16" s="257"/>
      <c r="P16" s="257"/>
      <c r="Q16" s="289"/>
    </row>
    <row r="17" spans="1:17" ht="24" customHeight="1">
      <c r="A17" s="279"/>
      <c r="B17" s="280"/>
      <c r="C17" s="280"/>
      <c r="D17" s="257"/>
      <c r="E17" s="285" t="s">
        <v>620</v>
      </c>
      <c r="F17" s="283" t="s">
        <v>128</v>
      </c>
      <c r="G17" s="286" t="s">
        <v>128</v>
      </c>
      <c r="H17" s="286" t="s">
        <v>128</v>
      </c>
      <c r="I17" s="283">
        <v>851</v>
      </c>
      <c r="J17" s="287" t="s">
        <v>614</v>
      </c>
      <c r="K17" s="290">
        <v>40940</v>
      </c>
      <c r="L17" s="283"/>
      <c r="M17" s="283"/>
      <c r="N17" s="288">
        <v>30</v>
      </c>
      <c r="O17" s="257"/>
      <c r="P17" s="257"/>
      <c r="Q17" s="289"/>
    </row>
    <row r="18" spans="1:17" ht="24" customHeight="1">
      <c r="A18" s="279"/>
      <c r="B18" s="280"/>
      <c r="C18" s="280"/>
      <c r="D18" s="257"/>
      <c r="E18" s="285" t="s">
        <v>621</v>
      </c>
      <c r="F18" s="283" t="s">
        <v>128</v>
      </c>
      <c r="G18" s="286" t="s">
        <v>128</v>
      </c>
      <c r="H18" s="286" t="s">
        <v>128</v>
      </c>
      <c r="I18" s="283">
        <v>851</v>
      </c>
      <c r="J18" s="287" t="s">
        <v>614</v>
      </c>
      <c r="K18" s="290">
        <v>41153</v>
      </c>
      <c r="L18" s="283"/>
      <c r="M18" s="283"/>
      <c r="N18" s="288">
        <v>30</v>
      </c>
      <c r="O18" s="257"/>
      <c r="P18" s="257"/>
      <c r="Q18" s="289"/>
    </row>
    <row r="19" spans="1:17" ht="24" customHeight="1">
      <c r="A19" s="279"/>
      <c r="B19" s="280"/>
      <c r="C19" s="280"/>
      <c r="D19" s="257"/>
      <c r="E19" s="285" t="s">
        <v>622</v>
      </c>
      <c r="F19" s="283" t="s">
        <v>128</v>
      </c>
      <c r="G19" s="286" t="s">
        <v>128</v>
      </c>
      <c r="H19" s="286" t="s">
        <v>128</v>
      </c>
      <c r="I19" s="283">
        <v>851</v>
      </c>
      <c r="J19" s="287" t="s">
        <v>612</v>
      </c>
      <c r="K19" s="290">
        <v>40940</v>
      </c>
      <c r="L19" s="283"/>
      <c r="M19" s="283"/>
      <c r="N19" s="288">
        <v>73.8</v>
      </c>
      <c r="O19" s="257"/>
      <c r="P19" s="257"/>
      <c r="Q19" s="289"/>
    </row>
    <row r="20" spans="1:17" ht="24" customHeight="1">
      <c r="A20" s="279"/>
      <c r="B20" s="280"/>
      <c r="C20" s="280"/>
      <c r="D20" s="257"/>
      <c r="E20" s="285" t="s">
        <v>623</v>
      </c>
      <c r="F20" s="283" t="s">
        <v>128</v>
      </c>
      <c r="G20" s="286" t="s">
        <v>128</v>
      </c>
      <c r="H20" s="286" t="s">
        <v>128</v>
      </c>
      <c r="I20" s="283">
        <v>851</v>
      </c>
      <c r="J20" s="287" t="s">
        <v>612</v>
      </c>
      <c r="K20" s="290">
        <v>40940</v>
      </c>
      <c r="L20" s="283"/>
      <c r="M20" s="283"/>
      <c r="N20" s="288">
        <v>36.9</v>
      </c>
      <c r="O20" s="257"/>
      <c r="P20" s="257"/>
      <c r="Q20" s="289"/>
    </row>
    <row r="21" spans="1:17" ht="24" customHeight="1">
      <c r="A21" s="279"/>
      <c r="B21" s="280"/>
      <c r="C21" s="280"/>
      <c r="D21" s="257"/>
      <c r="E21" s="285" t="s">
        <v>624</v>
      </c>
      <c r="F21" s="283" t="s">
        <v>128</v>
      </c>
      <c r="G21" s="286" t="s">
        <v>128</v>
      </c>
      <c r="H21" s="286" t="s">
        <v>128</v>
      </c>
      <c r="I21" s="283">
        <v>851</v>
      </c>
      <c r="J21" s="287" t="s">
        <v>614</v>
      </c>
      <c r="K21" s="290">
        <v>40909</v>
      </c>
      <c r="L21" s="283"/>
      <c r="M21" s="283"/>
      <c r="N21" s="288">
        <v>600</v>
      </c>
      <c r="O21" s="257"/>
      <c r="P21" s="257"/>
      <c r="Q21" s="289"/>
    </row>
    <row r="22" spans="1:17">
      <c r="A22" s="279"/>
      <c r="B22" s="280"/>
      <c r="C22" s="280"/>
      <c r="D22" s="257"/>
      <c r="E22" s="285"/>
      <c r="F22" s="283"/>
      <c r="G22" s="286"/>
      <c r="H22" s="286"/>
      <c r="I22" s="283"/>
      <c r="J22" s="287"/>
      <c r="K22" s="283"/>
      <c r="L22" s="283"/>
      <c r="M22" s="283"/>
      <c r="N22" s="288"/>
      <c r="O22" s="257"/>
      <c r="P22" s="257"/>
      <c r="Q22" s="284"/>
    </row>
    <row r="23" spans="1:17">
      <c r="A23" s="279"/>
      <c r="B23" s="280"/>
      <c r="C23" s="280"/>
      <c r="D23" s="257"/>
      <c r="E23" s="281"/>
      <c r="F23" s="282"/>
      <c r="G23" s="257"/>
      <c r="H23" s="257"/>
      <c r="I23" s="283"/>
      <c r="J23" s="258"/>
      <c r="K23" s="258"/>
      <c r="L23" s="257"/>
      <c r="M23" s="257"/>
      <c r="N23" s="257"/>
      <c r="O23" s="257"/>
      <c r="P23" s="257"/>
      <c r="Q23" s="278"/>
    </row>
    <row r="24" spans="1:17" ht="26.25">
      <c r="A24" s="279"/>
      <c r="B24" s="280"/>
      <c r="C24" s="280"/>
      <c r="D24" s="257"/>
      <c r="E24" s="281" t="s">
        <v>625</v>
      </c>
      <c r="F24" s="282"/>
      <c r="G24" s="257"/>
      <c r="H24" s="257"/>
      <c r="I24" s="283"/>
      <c r="J24" s="291"/>
      <c r="K24" s="258"/>
      <c r="L24" s="258"/>
      <c r="M24" s="258"/>
      <c r="N24" s="258"/>
      <c r="O24" s="258"/>
      <c r="P24" s="258"/>
      <c r="Q24" s="284"/>
    </row>
    <row r="25" spans="1:17" ht="26.25">
      <c r="A25" s="279"/>
      <c r="B25" s="280"/>
      <c r="C25" s="280"/>
      <c r="D25" s="257"/>
      <c r="E25" s="285" t="s">
        <v>626</v>
      </c>
      <c r="F25" s="283" t="s">
        <v>627</v>
      </c>
      <c r="G25" s="286">
        <v>40539</v>
      </c>
      <c r="H25" s="286">
        <v>41270</v>
      </c>
      <c r="I25" s="283">
        <v>853</v>
      </c>
      <c r="J25" s="287" t="s">
        <v>628</v>
      </c>
      <c r="K25" s="283" t="s">
        <v>128</v>
      </c>
      <c r="L25" s="283"/>
      <c r="M25" s="283"/>
      <c r="N25" s="283" t="s">
        <v>629</v>
      </c>
      <c r="O25" s="257"/>
      <c r="P25" s="257"/>
      <c r="Q25" s="284"/>
    </row>
    <row r="26" spans="1:17" ht="26.25">
      <c r="A26" s="279"/>
      <c r="B26" s="280"/>
      <c r="C26" s="280"/>
      <c r="D26" s="257"/>
      <c r="E26" s="285" t="s">
        <v>626</v>
      </c>
      <c r="F26" s="283" t="s">
        <v>630</v>
      </c>
      <c r="G26" s="286">
        <v>40532</v>
      </c>
      <c r="H26" s="286">
        <v>41263</v>
      </c>
      <c r="I26" s="283">
        <v>853</v>
      </c>
      <c r="J26" s="287" t="s">
        <v>628</v>
      </c>
      <c r="K26" s="283" t="s">
        <v>128</v>
      </c>
      <c r="L26" s="283"/>
      <c r="M26" s="283"/>
      <c r="N26" s="283" t="s">
        <v>629</v>
      </c>
      <c r="O26" s="257"/>
      <c r="P26" s="257"/>
      <c r="Q26" s="284"/>
    </row>
    <row r="27" spans="1:17" ht="26.25">
      <c r="A27" s="279"/>
      <c r="B27" s="280"/>
      <c r="C27" s="280"/>
      <c r="D27" s="257"/>
      <c r="E27" s="285" t="s">
        <v>626</v>
      </c>
      <c r="F27" s="283" t="s">
        <v>631</v>
      </c>
      <c r="G27" s="286">
        <v>40539</v>
      </c>
      <c r="H27" s="286">
        <v>41270</v>
      </c>
      <c r="I27" s="283">
        <v>853</v>
      </c>
      <c r="J27" s="287" t="s">
        <v>628</v>
      </c>
      <c r="K27" s="283" t="s">
        <v>128</v>
      </c>
      <c r="L27" s="283"/>
      <c r="M27" s="283"/>
      <c r="N27" s="283" t="s">
        <v>629</v>
      </c>
      <c r="O27" s="257"/>
      <c r="P27" s="257"/>
      <c r="Q27" s="284"/>
    </row>
    <row r="28" spans="1:17" ht="26.25">
      <c r="A28" s="279"/>
      <c r="B28" s="280"/>
      <c r="C28" s="280"/>
      <c r="D28" s="257"/>
      <c r="E28" s="285" t="s">
        <v>626</v>
      </c>
      <c r="F28" s="283" t="s">
        <v>632</v>
      </c>
      <c r="G28" s="286">
        <v>40539</v>
      </c>
      <c r="H28" s="286">
        <v>41270</v>
      </c>
      <c r="I28" s="283">
        <v>853</v>
      </c>
      <c r="J28" s="287" t="s">
        <v>628</v>
      </c>
      <c r="K28" s="283" t="s">
        <v>128</v>
      </c>
      <c r="L28" s="283"/>
      <c r="M28" s="283"/>
      <c r="N28" s="283" t="s">
        <v>629</v>
      </c>
      <c r="O28" s="257"/>
      <c r="P28" s="257"/>
      <c r="Q28" s="284"/>
    </row>
    <row r="29" spans="1:17" ht="26.25">
      <c r="A29" s="279"/>
      <c r="B29" s="280"/>
      <c r="C29" s="280"/>
      <c r="D29" s="257"/>
      <c r="E29" s="285" t="s">
        <v>626</v>
      </c>
      <c r="F29" s="283" t="s">
        <v>633</v>
      </c>
      <c r="G29" s="286">
        <v>40539</v>
      </c>
      <c r="H29" s="286">
        <v>41270</v>
      </c>
      <c r="I29" s="283">
        <v>853</v>
      </c>
      <c r="J29" s="287" t="s">
        <v>628</v>
      </c>
      <c r="K29" s="283" t="s">
        <v>128</v>
      </c>
      <c r="L29" s="283"/>
      <c r="M29" s="283"/>
      <c r="N29" s="283" t="s">
        <v>629</v>
      </c>
      <c r="O29" s="257"/>
      <c r="P29" s="257"/>
      <c r="Q29" s="284"/>
    </row>
    <row r="30" spans="1:17" ht="26.25">
      <c r="A30" s="279"/>
      <c r="B30" s="280"/>
      <c r="C30" s="280"/>
      <c r="D30" s="257"/>
      <c r="E30" s="285" t="s">
        <v>626</v>
      </c>
      <c r="F30" s="283" t="s">
        <v>634</v>
      </c>
      <c r="G30" s="286">
        <v>40532</v>
      </c>
      <c r="H30" s="286">
        <v>41263</v>
      </c>
      <c r="I30" s="283">
        <v>853</v>
      </c>
      <c r="J30" s="287" t="s">
        <v>628</v>
      </c>
      <c r="K30" s="283" t="s">
        <v>128</v>
      </c>
      <c r="L30" s="283"/>
      <c r="M30" s="283"/>
      <c r="N30" s="283" t="s">
        <v>629</v>
      </c>
      <c r="O30" s="257"/>
      <c r="P30" s="257"/>
      <c r="Q30" s="284"/>
    </row>
    <row r="31" spans="1:17" ht="26.25">
      <c r="A31" s="279"/>
      <c r="B31" s="280"/>
      <c r="C31" s="280"/>
      <c r="D31" s="257"/>
      <c r="E31" s="285" t="s">
        <v>626</v>
      </c>
      <c r="F31" s="283" t="s">
        <v>635</v>
      </c>
      <c r="G31" s="286">
        <v>40542</v>
      </c>
      <c r="H31" s="286">
        <v>41274</v>
      </c>
      <c r="I31" s="283">
        <v>853</v>
      </c>
      <c r="J31" s="287" t="s">
        <v>628</v>
      </c>
      <c r="K31" s="283" t="s">
        <v>128</v>
      </c>
      <c r="L31" s="283"/>
      <c r="M31" s="283"/>
      <c r="N31" s="283" t="s">
        <v>629</v>
      </c>
      <c r="O31" s="257"/>
      <c r="P31" s="257"/>
      <c r="Q31" s="284"/>
    </row>
    <row r="32" spans="1:17" ht="26.25">
      <c r="A32" s="279"/>
      <c r="B32" s="280"/>
      <c r="C32" s="280"/>
      <c r="D32" s="257"/>
      <c r="E32" s="285" t="s">
        <v>626</v>
      </c>
      <c r="F32" s="283" t="s">
        <v>636</v>
      </c>
      <c r="G32" s="286">
        <v>40532</v>
      </c>
      <c r="H32" s="286">
        <v>41263</v>
      </c>
      <c r="I32" s="283">
        <v>853</v>
      </c>
      <c r="J32" s="287" t="s">
        <v>628</v>
      </c>
      <c r="K32" s="283" t="s">
        <v>128</v>
      </c>
      <c r="L32" s="283"/>
      <c r="M32" s="283"/>
      <c r="N32" s="283" t="s">
        <v>629</v>
      </c>
      <c r="O32" s="257"/>
      <c r="P32" s="257"/>
      <c r="Q32" s="284"/>
    </row>
    <row r="33" spans="1:17" ht="26.25">
      <c r="A33" s="279"/>
      <c r="B33" s="280"/>
      <c r="C33" s="280"/>
      <c r="D33" s="257"/>
      <c r="E33" s="285" t="s">
        <v>626</v>
      </c>
      <c r="F33" s="283" t="s">
        <v>637</v>
      </c>
      <c r="G33" s="286">
        <v>40542</v>
      </c>
      <c r="H33" s="286">
        <v>41274</v>
      </c>
      <c r="I33" s="283">
        <v>853</v>
      </c>
      <c r="J33" s="287" t="s">
        <v>628</v>
      </c>
      <c r="K33" s="283" t="s">
        <v>128</v>
      </c>
      <c r="L33" s="283"/>
      <c r="M33" s="283"/>
      <c r="N33" s="283" t="s">
        <v>629</v>
      </c>
      <c r="O33" s="257"/>
      <c r="P33" s="257"/>
      <c r="Q33" s="284"/>
    </row>
    <row r="34" spans="1:17" ht="26.25">
      <c r="A34" s="279"/>
      <c r="B34" s="280"/>
      <c r="C34" s="280"/>
      <c r="D34" s="257"/>
      <c r="E34" s="285" t="s">
        <v>626</v>
      </c>
      <c r="F34" s="283" t="s">
        <v>638</v>
      </c>
      <c r="G34" s="286">
        <v>40539</v>
      </c>
      <c r="H34" s="286">
        <v>41270</v>
      </c>
      <c r="I34" s="283">
        <v>853</v>
      </c>
      <c r="J34" s="287" t="s">
        <v>628</v>
      </c>
      <c r="K34" s="283" t="s">
        <v>128</v>
      </c>
      <c r="L34" s="283"/>
      <c r="M34" s="283"/>
      <c r="N34" s="283" t="s">
        <v>629</v>
      </c>
      <c r="O34" s="257"/>
      <c r="P34" s="257"/>
      <c r="Q34" s="284"/>
    </row>
    <row r="35" spans="1:17">
      <c r="A35" s="279"/>
      <c r="B35" s="280"/>
      <c r="C35" s="280"/>
      <c r="D35" s="280"/>
      <c r="E35" s="291"/>
      <c r="F35" s="282"/>
      <c r="G35" s="280"/>
      <c r="H35" s="280"/>
      <c r="I35" s="280"/>
      <c r="J35" s="280"/>
      <c r="K35" s="282"/>
      <c r="L35" s="280"/>
      <c r="M35" s="280"/>
      <c r="N35" s="280"/>
      <c r="O35" s="280"/>
      <c r="P35" s="280"/>
      <c r="Q35" s="284"/>
    </row>
    <row r="36" spans="1:17">
      <c r="A36" s="279"/>
      <c r="B36" s="280"/>
      <c r="C36" s="280"/>
      <c r="D36" s="257"/>
      <c r="E36" s="285"/>
      <c r="F36" s="283"/>
      <c r="G36" s="286"/>
      <c r="H36" s="286"/>
      <c r="I36" s="283"/>
      <c r="J36" s="287"/>
      <c r="K36" s="283"/>
      <c r="L36" s="283"/>
      <c r="M36" s="283"/>
      <c r="N36" s="283"/>
      <c r="O36" s="257"/>
      <c r="P36" s="257"/>
      <c r="Q36" s="284"/>
    </row>
    <row r="37" spans="1:17">
      <c r="A37" s="292"/>
      <c r="B37" s="293"/>
      <c r="C37" s="293"/>
      <c r="D37" s="293"/>
      <c r="E37" s="294"/>
      <c r="F37" s="293"/>
      <c r="G37" s="293"/>
      <c r="H37" s="293"/>
      <c r="I37" s="293"/>
      <c r="J37" s="293"/>
      <c r="K37" s="293"/>
      <c r="L37" s="293"/>
      <c r="M37" s="293"/>
      <c r="N37" s="293"/>
      <c r="O37" s="293"/>
      <c r="P37" s="293"/>
      <c r="Q37" s="295"/>
    </row>
  </sheetData>
  <mergeCells count="15">
    <mergeCell ref="A1:Q1"/>
    <mergeCell ref="A2:Q2"/>
    <mergeCell ref="A3:Q3"/>
    <mergeCell ref="A5:A6"/>
    <mergeCell ref="B5:B6"/>
    <mergeCell ref="C5:C6"/>
    <mergeCell ref="D5:D6"/>
    <mergeCell ref="E5:E6"/>
    <mergeCell ref="F5:F6"/>
    <mergeCell ref="G5:H5"/>
    <mergeCell ref="I5:I6"/>
    <mergeCell ref="J5:J6"/>
    <mergeCell ref="K5:M5"/>
    <mergeCell ref="N5:P5"/>
    <mergeCell ref="Q5:Q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BE49"/>
  <sheetViews>
    <sheetView workbookViewId="0">
      <selection activeCell="A2" sqref="A2:Q2"/>
    </sheetView>
  </sheetViews>
  <sheetFormatPr baseColWidth="10" defaultRowHeight="15"/>
  <cols>
    <col min="1" max="1" width="11.5703125" style="52"/>
    <col min="17" max="17" width="30.28515625" customWidth="1"/>
    <col min="18" max="57" width="11.5703125" style="82"/>
  </cols>
  <sheetData>
    <row r="1" spans="1:57" ht="18.75">
      <c r="A1" s="424" t="s">
        <v>0</v>
      </c>
      <c r="B1" s="425"/>
      <c r="C1" s="425"/>
      <c r="D1" s="425"/>
      <c r="E1" s="425"/>
      <c r="F1" s="425"/>
      <c r="G1" s="425"/>
      <c r="H1" s="425"/>
      <c r="I1" s="425"/>
      <c r="J1" s="425"/>
      <c r="K1" s="425"/>
      <c r="L1" s="425"/>
      <c r="M1" s="425"/>
      <c r="N1" s="425"/>
      <c r="O1" s="425"/>
      <c r="P1" s="425"/>
      <c r="Q1" s="425"/>
      <c r="R1" s="189" t="s">
        <v>14</v>
      </c>
    </row>
    <row r="2" spans="1:57" ht="18.75">
      <c r="A2" s="424" t="s">
        <v>209</v>
      </c>
      <c r="B2" s="425"/>
      <c r="C2" s="425"/>
      <c r="D2" s="425"/>
      <c r="E2" s="425"/>
      <c r="F2" s="425"/>
      <c r="G2" s="425"/>
      <c r="H2" s="425"/>
      <c r="I2" s="425"/>
      <c r="J2" s="425"/>
      <c r="K2" s="425"/>
      <c r="L2" s="425"/>
      <c r="M2" s="425"/>
      <c r="N2" s="425"/>
      <c r="O2" s="425"/>
      <c r="P2" s="425"/>
      <c r="Q2" s="425"/>
      <c r="R2" s="189" t="s">
        <v>15</v>
      </c>
    </row>
    <row r="3" spans="1:57" ht="18.75">
      <c r="A3" s="426" t="s">
        <v>25</v>
      </c>
      <c r="B3" s="425"/>
      <c r="C3" s="425"/>
      <c r="D3" s="425"/>
      <c r="E3" s="425"/>
      <c r="F3" s="425"/>
      <c r="G3" s="425"/>
      <c r="H3" s="425"/>
      <c r="I3" s="425"/>
      <c r="J3" s="425"/>
      <c r="K3" s="425"/>
      <c r="L3" s="425"/>
      <c r="M3" s="425"/>
      <c r="N3" s="425"/>
      <c r="O3" s="425"/>
      <c r="P3" s="425"/>
      <c r="Q3" s="425"/>
      <c r="R3" s="189" t="s">
        <v>160</v>
      </c>
    </row>
    <row r="4" spans="1:57" ht="15.75" thickBot="1">
      <c r="A4" s="53"/>
      <c r="B4" s="54"/>
      <c r="C4" s="54"/>
      <c r="D4" s="54"/>
      <c r="E4" s="55"/>
      <c r="F4" s="54"/>
      <c r="G4" s="54"/>
      <c r="H4" s="54"/>
      <c r="I4" s="54"/>
      <c r="J4" s="54"/>
      <c r="K4" s="54"/>
      <c r="L4" s="54"/>
      <c r="M4" s="54"/>
      <c r="N4" s="54"/>
      <c r="O4" s="54"/>
      <c r="P4" s="54"/>
      <c r="Q4" s="54"/>
    </row>
    <row r="5" spans="1:57" ht="22.5" customHeight="1" thickTop="1" thickBot="1">
      <c r="A5" s="411" t="s">
        <v>1</v>
      </c>
      <c r="B5" s="411" t="s">
        <v>2</v>
      </c>
      <c r="C5" s="409" t="s">
        <v>3</v>
      </c>
      <c r="D5" s="409" t="s">
        <v>19</v>
      </c>
      <c r="E5" s="409" t="s">
        <v>4</v>
      </c>
      <c r="F5" s="409" t="s">
        <v>5</v>
      </c>
      <c r="G5" s="422" t="s">
        <v>17</v>
      </c>
      <c r="H5" s="423"/>
      <c r="I5" s="409" t="s">
        <v>6</v>
      </c>
      <c r="J5" s="411" t="s">
        <v>7</v>
      </c>
      <c r="K5" s="413" t="s">
        <v>8</v>
      </c>
      <c r="L5" s="413"/>
      <c r="M5" s="413"/>
      <c r="N5" s="413" t="s">
        <v>9</v>
      </c>
      <c r="O5" s="414"/>
      <c r="P5" s="475"/>
      <c r="Q5" s="476" t="s">
        <v>161</v>
      </c>
    </row>
    <row r="6" spans="1:57" ht="39.75" thickTop="1" thickBot="1">
      <c r="A6" s="474"/>
      <c r="B6" s="474"/>
      <c r="C6" s="473"/>
      <c r="D6" s="473"/>
      <c r="E6" s="473"/>
      <c r="F6" s="473"/>
      <c r="G6" s="135" t="s">
        <v>16</v>
      </c>
      <c r="H6" s="135" t="s">
        <v>18</v>
      </c>
      <c r="I6" s="473"/>
      <c r="J6" s="474"/>
      <c r="K6" s="57" t="s">
        <v>10</v>
      </c>
      <c r="L6" s="57" t="s">
        <v>24</v>
      </c>
      <c r="M6" s="57" t="s">
        <v>11</v>
      </c>
      <c r="N6" s="57" t="s">
        <v>12</v>
      </c>
      <c r="O6" s="57" t="s">
        <v>24</v>
      </c>
      <c r="P6" s="190" t="s">
        <v>13</v>
      </c>
      <c r="Q6" s="477"/>
      <c r="R6" s="191"/>
    </row>
    <row r="7" spans="1:57" s="200" customFormat="1" ht="50.25" customHeight="1" thickTop="1">
      <c r="A7" s="478">
        <v>1</v>
      </c>
      <c r="B7" s="480" t="s">
        <v>519</v>
      </c>
      <c r="C7" s="482" t="s">
        <v>160</v>
      </c>
      <c r="D7" s="482"/>
      <c r="E7" s="482" t="s">
        <v>520</v>
      </c>
      <c r="F7" s="468" t="s">
        <v>521</v>
      </c>
      <c r="G7" s="470">
        <v>40709</v>
      </c>
      <c r="H7" s="470">
        <v>42170</v>
      </c>
      <c r="I7" s="468">
        <v>602</v>
      </c>
      <c r="J7" s="468" t="s">
        <v>522</v>
      </c>
      <c r="K7" s="193" t="s">
        <v>523</v>
      </c>
      <c r="L7" s="194"/>
      <c r="M7" s="194"/>
      <c r="N7" s="195">
        <v>2392</v>
      </c>
      <c r="O7" s="196"/>
      <c r="P7" s="197"/>
      <c r="Q7" s="198"/>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199"/>
      <c r="AX7" s="199"/>
      <c r="AY7" s="199"/>
      <c r="AZ7" s="199"/>
      <c r="BA7" s="199"/>
      <c r="BB7" s="199"/>
      <c r="BC7" s="199"/>
      <c r="BD7" s="199"/>
      <c r="BE7" s="199"/>
    </row>
    <row r="8" spans="1:57" s="200" customFormat="1" ht="60" customHeight="1">
      <c r="A8" s="479"/>
      <c r="B8" s="481"/>
      <c r="C8" s="483"/>
      <c r="D8" s="483"/>
      <c r="E8" s="483"/>
      <c r="F8" s="469"/>
      <c r="G8" s="471"/>
      <c r="H8" s="471"/>
      <c r="I8" s="469"/>
      <c r="J8" s="469"/>
      <c r="K8" s="201" t="s">
        <v>524</v>
      </c>
      <c r="L8" s="202"/>
      <c r="M8" s="202"/>
      <c r="N8" s="203">
        <v>3523</v>
      </c>
      <c r="O8" s="204"/>
      <c r="P8" s="205"/>
      <c r="Q8" s="198"/>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99"/>
      <c r="AV8" s="199"/>
      <c r="AW8" s="199"/>
      <c r="AX8" s="199"/>
      <c r="AY8" s="199"/>
      <c r="AZ8" s="199"/>
      <c r="BA8" s="199"/>
      <c r="BB8" s="199"/>
      <c r="BC8" s="199"/>
      <c r="BD8" s="199"/>
      <c r="BE8" s="199"/>
    </row>
    <row r="9" spans="1:57" s="200" customFormat="1" ht="71.25" customHeight="1">
      <c r="A9" s="479"/>
      <c r="B9" s="481"/>
      <c r="C9" s="483"/>
      <c r="D9" s="483"/>
      <c r="E9" s="483"/>
      <c r="F9" s="469"/>
      <c r="G9" s="471"/>
      <c r="H9" s="471"/>
      <c r="I9" s="469"/>
      <c r="J9" s="469"/>
      <c r="K9" s="201" t="s">
        <v>525</v>
      </c>
      <c r="L9" s="202"/>
      <c r="M9" s="202"/>
      <c r="N9" s="203">
        <v>4895</v>
      </c>
      <c r="O9" s="204"/>
      <c r="P9" s="205"/>
      <c r="Q9" s="198"/>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199"/>
      <c r="AV9" s="199"/>
      <c r="AW9" s="199"/>
      <c r="AX9" s="199"/>
      <c r="AY9" s="199"/>
      <c r="AZ9" s="199"/>
      <c r="BA9" s="199"/>
      <c r="BB9" s="199"/>
      <c r="BC9" s="199"/>
      <c r="BD9" s="199"/>
      <c r="BE9" s="199"/>
    </row>
    <row r="10" spans="1:57" s="200" customFormat="1" ht="285" customHeight="1">
      <c r="A10" s="206"/>
      <c r="B10" s="207" t="s">
        <v>526</v>
      </c>
      <c r="C10" s="207" t="s">
        <v>15</v>
      </c>
      <c r="D10" s="202"/>
      <c r="E10" s="201" t="s">
        <v>527</v>
      </c>
      <c r="F10" s="208" t="s">
        <v>528</v>
      </c>
      <c r="G10" s="209">
        <v>40878</v>
      </c>
      <c r="H10" s="209">
        <v>41363</v>
      </c>
      <c r="I10" s="208">
        <v>602</v>
      </c>
      <c r="J10" s="208" t="s">
        <v>434</v>
      </c>
      <c r="K10" s="208">
        <v>2</v>
      </c>
      <c r="L10" s="202"/>
      <c r="M10" s="210"/>
      <c r="N10" s="203">
        <v>400</v>
      </c>
      <c r="O10" s="211"/>
      <c r="P10" s="205"/>
      <c r="Q10" s="212"/>
      <c r="R10" s="199"/>
      <c r="S10" s="213"/>
      <c r="T10" s="199"/>
      <c r="U10" s="199"/>
      <c r="V10" s="199"/>
      <c r="W10" s="199"/>
      <c r="X10" s="199"/>
      <c r="Y10" s="199"/>
      <c r="Z10" s="199"/>
      <c r="AA10" s="199"/>
      <c r="AB10" s="199"/>
      <c r="AC10" s="199"/>
      <c r="AD10" s="199"/>
      <c r="AE10" s="199"/>
      <c r="AF10" s="199"/>
      <c r="AG10" s="199"/>
      <c r="AH10" s="199"/>
      <c r="AI10" s="199"/>
      <c r="AJ10" s="199"/>
      <c r="AK10" s="199"/>
      <c r="AL10" s="199"/>
      <c r="AM10" s="199"/>
      <c r="AN10" s="199"/>
      <c r="AO10" s="199"/>
      <c r="AP10" s="199"/>
      <c r="AQ10" s="199"/>
      <c r="AR10" s="199"/>
      <c r="AS10" s="199"/>
      <c r="AT10" s="199"/>
      <c r="AU10" s="199"/>
      <c r="AV10" s="199"/>
      <c r="AW10" s="199"/>
      <c r="AX10" s="199"/>
      <c r="AY10" s="199"/>
      <c r="AZ10" s="199"/>
      <c r="BA10" s="199"/>
      <c r="BB10" s="199"/>
      <c r="BC10" s="199"/>
      <c r="BD10" s="199"/>
      <c r="BE10" s="199"/>
    </row>
    <row r="11" spans="1:57" s="200" customFormat="1" ht="75" customHeight="1">
      <c r="A11" s="206"/>
      <c r="B11" s="207" t="s">
        <v>529</v>
      </c>
      <c r="C11" s="214" t="s">
        <v>14</v>
      </c>
      <c r="D11" s="215"/>
      <c r="E11" s="202" t="s">
        <v>530</v>
      </c>
      <c r="F11" s="208" t="s">
        <v>531</v>
      </c>
      <c r="G11" s="209">
        <v>40580</v>
      </c>
      <c r="H11" s="209">
        <v>40763</v>
      </c>
      <c r="I11" s="208">
        <v>602</v>
      </c>
      <c r="J11" s="208" t="s">
        <v>37</v>
      </c>
      <c r="K11" s="208">
        <v>12</v>
      </c>
      <c r="L11" s="202"/>
      <c r="M11" s="210"/>
      <c r="N11" s="203">
        <v>48</v>
      </c>
      <c r="O11" s="211"/>
      <c r="P11" s="205"/>
      <c r="Q11" s="216"/>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c r="AQ11" s="199"/>
      <c r="AR11" s="199"/>
      <c r="AS11" s="199"/>
      <c r="AT11" s="199"/>
      <c r="AU11" s="199"/>
      <c r="AV11" s="199"/>
      <c r="AW11" s="199"/>
      <c r="AX11" s="199"/>
      <c r="AY11" s="199"/>
      <c r="AZ11" s="199"/>
      <c r="BA11" s="199"/>
      <c r="BB11" s="199"/>
      <c r="BC11" s="199"/>
      <c r="BD11" s="199"/>
      <c r="BE11" s="199"/>
    </row>
    <row r="12" spans="1:57" s="200" customFormat="1" ht="95.25" customHeight="1">
      <c r="A12" s="206"/>
      <c r="B12" s="207" t="s">
        <v>532</v>
      </c>
      <c r="C12" s="214" t="s">
        <v>14</v>
      </c>
      <c r="D12" s="215"/>
      <c r="E12" s="202" t="s">
        <v>533</v>
      </c>
      <c r="F12" s="208" t="s">
        <v>534</v>
      </c>
      <c r="G12" s="209">
        <v>40661</v>
      </c>
      <c r="H12" s="209">
        <v>41756</v>
      </c>
      <c r="I12" s="208">
        <v>602</v>
      </c>
      <c r="J12" s="208" t="s">
        <v>37</v>
      </c>
      <c r="K12" s="208"/>
      <c r="L12" s="202"/>
      <c r="M12" s="210"/>
      <c r="N12" s="203">
        <v>241</v>
      </c>
      <c r="O12" s="211"/>
      <c r="P12" s="205"/>
      <c r="Q12" s="216"/>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row>
    <row r="13" spans="1:57" s="200" customFormat="1" ht="70.5" customHeight="1">
      <c r="A13" s="206"/>
      <c r="B13" s="207" t="s">
        <v>535</v>
      </c>
      <c r="C13" s="214" t="s">
        <v>14</v>
      </c>
      <c r="D13" s="215"/>
      <c r="E13" s="202" t="s">
        <v>536</v>
      </c>
      <c r="F13" s="208"/>
      <c r="G13" s="209"/>
      <c r="H13" s="209"/>
      <c r="I13" s="208">
        <v>602</v>
      </c>
      <c r="J13" s="208" t="s">
        <v>37</v>
      </c>
      <c r="K13" s="208"/>
      <c r="L13" s="202"/>
      <c r="M13" s="210"/>
      <c r="N13" s="203">
        <v>400</v>
      </c>
      <c r="O13" s="211"/>
      <c r="P13" s="205"/>
      <c r="Q13" s="216"/>
      <c r="R13" s="199"/>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R13" s="199"/>
      <c r="AS13" s="199"/>
      <c r="AT13" s="199"/>
      <c r="AU13" s="199"/>
      <c r="AV13" s="199"/>
      <c r="AW13" s="199"/>
      <c r="AX13" s="199"/>
      <c r="AY13" s="199"/>
      <c r="AZ13" s="199"/>
      <c r="BA13" s="199"/>
      <c r="BB13" s="199"/>
      <c r="BC13" s="199"/>
      <c r="BD13" s="199"/>
      <c r="BE13" s="199"/>
    </row>
    <row r="14" spans="1:57" s="200" customFormat="1" ht="51" customHeight="1">
      <c r="A14" s="206"/>
      <c r="B14" s="207" t="s">
        <v>537</v>
      </c>
      <c r="C14" s="214" t="s">
        <v>14</v>
      </c>
      <c r="D14" s="215"/>
      <c r="E14" s="202"/>
      <c r="F14" s="208"/>
      <c r="G14" s="209"/>
      <c r="H14" s="209"/>
      <c r="I14" s="208">
        <v>602</v>
      </c>
      <c r="J14" s="208" t="s">
        <v>37</v>
      </c>
      <c r="K14" s="208"/>
      <c r="L14" s="202"/>
      <c r="M14" s="210"/>
      <c r="N14" s="203">
        <v>606</v>
      </c>
      <c r="O14" s="211"/>
      <c r="P14" s="205"/>
      <c r="Q14" s="216"/>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199"/>
      <c r="AT14" s="199"/>
      <c r="AU14" s="199"/>
      <c r="AV14" s="199"/>
      <c r="AW14" s="199"/>
      <c r="AX14" s="199"/>
      <c r="AY14" s="199"/>
      <c r="AZ14" s="199"/>
      <c r="BA14" s="199"/>
      <c r="BB14" s="199"/>
      <c r="BC14" s="199"/>
      <c r="BD14" s="199"/>
      <c r="BE14" s="199"/>
    </row>
    <row r="15" spans="1:57" s="200" customFormat="1" ht="48" customHeight="1">
      <c r="A15" s="206"/>
      <c r="B15" s="207" t="s">
        <v>538</v>
      </c>
      <c r="C15" s="214" t="s">
        <v>14</v>
      </c>
      <c r="D15" s="215"/>
      <c r="E15" s="202"/>
      <c r="F15" s="208"/>
      <c r="G15" s="209"/>
      <c r="H15" s="209"/>
      <c r="I15" s="208">
        <v>602</v>
      </c>
      <c r="J15" s="208" t="s">
        <v>37</v>
      </c>
      <c r="K15" s="208"/>
      <c r="L15" s="202"/>
      <c r="M15" s="210"/>
      <c r="N15" s="203">
        <v>222</v>
      </c>
      <c r="O15" s="211"/>
      <c r="P15" s="205"/>
      <c r="Q15" s="216"/>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row>
    <row r="16" spans="1:57" ht="63.75">
      <c r="A16" s="217"/>
      <c r="B16" s="218" t="s">
        <v>539</v>
      </c>
      <c r="C16" s="218" t="s">
        <v>14</v>
      </c>
      <c r="D16" s="218">
        <v>120</v>
      </c>
      <c r="E16" s="218" t="s">
        <v>540</v>
      </c>
      <c r="F16" s="218" t="s">
        <v>541</v>
      </c>
      <c r="G16" s="219"/>
      <c r="H16" s="219"/>
      <c r="I16" s="218">
        <v>615</v>
      </c>
      <c r="J16" s="218" t="s">
        <v>542</v>
      </c>
      <c r="K16" s="218">
        <v>12</v>
      </c>
      <c r="L16" s="218"/>
      <c r="M16" s="220"/>
      <c r="N16" s="221">
        <v>120</v>
      </c>
      <c r="O16" s="222"/>
      <c r="P16" s="223"/>
      <c r="Q16" s="224" t="s">
        <v>543</v>
      </c>
    </row>
    <row r="17" spans="1:57" s="170" customFormat="1" ht="89.25">
      <c r="A17" s="225"/>
      <c r="B17" s="176" t="s">
        <v>544</v>
      </c>
      <c r="C17" s="218" t="s">
        <v>14</v>
      </c>
      <c r="D17" s="176">
        <v>30</v>
      </c>
      <c r="E17" s="176" t="s">
        <v>545</v>
      </c>
      <c r="F17" s="176"/>
      <c r="G17" s="226" t="s">
        <v>546</v>
      </c>
      <c r="H17" s="226" t="s">
        <v>547</v>
      </c>
      <c r="I17" s="176">
        <v>615</v>
      </c>
      <c r="J17" s="176" t="s">
        <v>548</v>
      </c>
      <c r="K17" s="176"/>
      <c r="L17" s="176"/>
      <c r="M17" s="227"/>
      <c r="N17" s="228">
        <v>30</v>
      </c>
      <c r="O17" s="229"/>
      <c r="P17" s="230"/>
      <c r="Q17" s="231"/>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2"/>
      <c r="AX17" s="232"/>
      <c r="AY17" s="232"/>
      <c r="AZ17" s="232"/>
      <c r="BA17" s="232"/>
      <c r="BB17" s="232"/>
      <c r="BC17" s="232"/>
      <c r="BD17" s="232"/>
      <c r="BE17" s="232"/>
    </row>
    <row r="18" spans="1:57" s="170" customFormat="1" ht="192" thickBot="1">
      <c r="A18" s="225"/>
      <c r="B18" s="176" t="s">
        <v>549</v>
      </c>
      <c r="C18" s="176" t="s">
        <v>14</v>
      </c>
      <c r="D18" s="176">
        <v>30</v>
      </c>
      <c r="E18" s="176" t="s">
        <v>550</v>
      </c>
      <c r="F18" s="176"/>
      <c r="G18" s="226" t="s">
        <v>551</v>
      </c>
      <c r="H18" s="226" t="s">
        <v>552</v>
      </c>
      <c r="I18" s="176">
        <v>615</v>
      </c>
      <c r="J18" s="176" t="s">
        <v>553</v>
      </c>
      <c r="K18" s="176"/>
      <c r="L18" s="176"/>
      <c r="M18" s="227"/>
      <c r="N18" s="228">
        <v>30</v>
      </c>
      <c r="O18" s="229"/>
      <c r="P18" s="230"/>
      <c r="Q18" s="231"/>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2"/>
      <c r="BA18" s="232"/>
      <c r="BB18" s="232"/>
      <c r="BC18" s="232"/>
      <c r="BD18" s="232"/>
      <c r="BE18" s="232"/>
    </row>
    <row r="19" spans="1:57" ht="141" thickTop="1">
      <c r="A19" s="233">
        <v>1</v>
      </c>
      <c r="B19" s="234" t="s">
        <v>554</v>
      </c>
      <c r="C19" s="235" t="s">
        <v>251</v>
      </c>
      <c r="D19" s="236">
        <v>238</v>
      </c>
      <c r="E19" s="177" t="s">
        <v>555</v>
      </c>
      <c r="F19" s="235" t="s">
        <v>556</v>
      </c>
      <c r="G19" s="237" t="s">
        <v>557</v>
      </c>
      <c r="H19" s="237" t="s">
        <v>146</v>
      </c>
      <c r="I19" s="238">
        <v>661</v>
      </c>
      <c r="J19" s="235" t="s">
        <v>558</v>
      </c>
      <c r="K19" s="238">
        <v>5</v>
      </c>
      <c r="L19" s="235"/>
      <c r="M19" s="235"/>
      <c r="N19" s="238">
        <v>129</v>
      </c>
      <c r="O19" s="235"/>
      <c r="P19" s="239"/>
      <c r="Q19" s="240"/>
      <c r="R19" s="241"/>
    </row>
    <row r="20" spans="1:57" ht="65.25" customHeight="1">
      <c r="A20" s="233">
        <v>2</v>
      </c>
      <c r="B20" s="234" t="s">
        <v>559</v>
      </c>
      <c r="C20" s="235" t="s">
        <v>44</v>
      </c>
      <c r="D20" s="236">
        <v>44</v>
      </c>
      <c r="E20" s="177" t="s">
        <v>560</v>
      </c>
      <c r="F20" s="235"/>
      <c r="G20" s="237" t="s">
        <v>561</v>
      </c>
      <c r="H20" s="237" t="s">
        <v>562</v>
      </c>
      <c r="I20" s="238">
        <v>661</v>
      </c>
      <c r="J20" s="235" t="s">
        <v>563</v>
      </c>
      <c r="K20" s="238">
        <v>5</v>
      </c>
      <c r="L20" s="235"/>
      <c r="M20" s="235"/>
      <c r="N20" s="238">
        <v>44</v>
      </c>
      <c r="O20" s="235"/>
      <c r="P20" s="239"/>
      <c r="Q20" s="242"/>
      <c r="R20" s="241"/>
    </row>
    <row r="21" spans="1:57" s="245" customFormat="1" ht="15" customHeight="1">
      <c r="A21" s="460">
        <v>4</v>
      </c>
      <c r="B21" s="461" t="s">
        <v>564</v>
      </c>
      <c r="C21" s="458" t="s">
        <v>15</v>
      </c>
      <c r="D21" s="472">
        <v>206</v>
      </c>
      <c r="E21" s="463" t="s">
        <v>565</v>
      </c>
      <c r="F21" s="456" t="s">
        <v>566</v>
      </c>
      <c r="G21" s="456">
        <v>40909</v>
      </c>
      <c r="H21" s="456">
        <v>40999</v>
      </c>
      <c r="I21" s="445">
        <v>661</v>
      </c>
      <c r="J21" s="457" t="s">
        <v>323</v>
      </c>
      <c r="K21" s="459">
        <v>1.2</v>
      </c>
      <c r="L21" s="445"/>
      <c r="M21" s="443"/>
      <c r="N21" s="378">
        <v>206</v>
      </c>
      <c r="O21" s="445"/>
      <c r="P21" s="465"/>
      <c r="Q21" s="466" t="s">
        <v>567</v>
      </c>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4"/>
      <c r="BA21" s="244"/>
      <c r="BB21" s="244"/>
      <c r="BC21" s="244"/>
      <c r="BD21" s="244"/>
      <c r="BE21" s="244"/>
    </row>
    <row r="22" spans="1:57" s="245" customFormat="1" ht="15" customHeight="1">
      <c r="A22" s="460"/>
      <c r="B22" s="461"/>
      <c r="C22" s="458"/>
      <c r="D22" s="472"/>
      <c r="E22" s="463" t="s">
        <v>568</v>
      </c>
      <c r="F22" s="445"/>
      <c r="G22" s="456"/>
      <c r="H22" s="456"/>
      <c r="I22" s="445"/>
      <c r="J22" s="458" t="s">
        <v>323</v>
      </c>
      <c r="K22" s="467"/>
      <c r="L22" s="445"/>
      <c r="M22" s="443"/>
      <c r="N22" s="378"/>
      <c r="O22" s="445"/>
      <c r="P22" s="465"/>
      <c r="Q22" s="466"/>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244"/>
      <c r="BE22" s="244"/>
    </row>
    <row r="23" spans="1:57" s="245" customFormat="1" ht="15" customHeight="1">
      <c r="A23" s="460"/>
      <c r="B23" s="461"/>
      <c r="C23" s="458"/>
      <c r="D23" s="472"/>
      <c r="E23" s="463" t="s">
        <v>569</v>
      </c>
      <c r="F23" s="445"/>
      <c r="G23" s="456"/>
      <c r="H23" s="456"/>
      <c r="I23" s="445"/>
      <c r="J23" s="458" t="s">
        <v>323</v>
      </c>
      <c r="K23" s="467"/>
      <c r="L23" s="445"/>
      <c r="M23" s="443"/>
      <c r="N23" s="378"/>
      <c r="O23" s="445"/>
      <c r="P23" s="465"/>
      <c r="Q23" s="466"/>
      <c r="R23" s="244"/>
      <c r="S23" s="244"/>
      <c r="T23" s="244"/>
      <c r="U23" s="244"/>
      <c r="V23" s="244"/>
      <c r="W23" s="244"/>
      <c r="X23" s="244"/>
      <c r="Y23" s="244"/>
      <c r="Z23" s="244"/>
      <c r="AA23" s="244"/>
      <c r="AB23" s="244"/>
      <c r="AC23" s="244"/>
      <c r="AD23" s="244"/>
      <c r="AE23" s="244"/>
      <c r="AF23" s="244"/>
      <c r="AG23" s="244"/>
      <c r="AH23" s="244"/>
      <c r="AI23" s="244"/>
      <c r="AJ23" s="244"/>
      <c r="AK23" s="244"/>
      <c r="AL23" s="244"/>
      <c r="AM23" s="244"/>
      <c r="AN23" s="244"/>
      <c r="AO23" s="244"/>
      <c r="AP23" s="244"/>
      <c r="AQ23" s="244"/>
      <c r="AR23" s="244"/>
      <c r="AS23" s="244"/>
      <c r="AT23" s="244"/>
      <c r="AU23" s="244"/>
      <c r="AV23" s="244"/>
      <c r="AW23" s="244"/>
      <c r="AX23" s="244"/>
      <c r="AY23" s="244"/>
      <c r="AZ23" s="244"/>
      <c r="BA23" s="244"/>
      <c r="BB23" s="244"/>
      <c r="BC23" s="244"/>
      <c r="BD23" s="244"/>
      <c r="BE23" s="244"/>
    </row>
    <row r="24" spans="1:57" s="245" customFormat="1" ht="15" customHeight="1">
      <c r="A24" s="460"/>
      <c r="B24" s="461"/>
      <c r="C24" s="458"/>
      <c r="D24" s="472"/>
      <c r="E24" s="463"/>
      <c r="F24" s="445"/>
      <c r="G24" s="456"/>
      <c r="H24" s="456"/>
      <c r="I24" s="445"/>
      <c r="J24" s="458" t="s">
        <v>323</v>
      </c>
      <c r="K24" s="467"/>
      <c r="L24" s="445"/>
      <c r="M24" s="443"/>
      <c r="N24" s="378"/>
      <c r="O24" s="445"/>
      <c r="P24" s="465"/>
      <c r="Q24" s="466"/>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4"/>
      <c r="BB24" s="244"/>
      <c r="BC24" s="244"/>
      <c r="BD24" s="244"/>
      <c r="BE24" s="244"/>
    </row>
    <row r="25" spans="1:57" s="245" customFormat="1" ht="15" customHeight="1">
      <c r="A25" s="460"/>
      <c r="B25" s="461"/>
      <c r="C25" s="458"/>
      <c r="D25" s="472"/>
      <c r="E25" s="463"/>
      <c r="F25" s="445"/>
      <c r="G25" s="456"/>
      <c r="H25" s="456"/>
      <c r="I25" s="445"/>
      <c r="J25" s="458" t="s">
        <v>323</v>
      </c>
      <c r="K25" s="467"/>
      <c r="L25" s="445"/>
      <c r="M25" s="443"/>
      <c r="N25" s="378"/>
      <c r="O25" s="445"/>
      <c r="P25" s="465"/>
      <c r="Q25" s="466"/>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4"/>
      <c r="AY25" s="244"/>
      <c r="AZ25" s="244"/>
      <c r="BA25" s="244"/>
      <c r="BB25" s="244"/>
      <c r="BC25" s="244"/>
      <c r="BD25" s="244"/>
      <c r="BE25" s="244"/>
    </row>
    <row r="26" spans="1:57" s="245" customFormat="1" ht="15" customHeight="1">
      <c r="A26" s="460"/>
      <c r="B26" s="461"/>
      <c r="C26" s="458"/>
      <c r="D26" s="472"/>
      <c r="E26" s="463"/>
      <c r="F26" s="445"/>
      <c r="G26" s="456"/>
      <c r="H26" s="456"/>
      <c r="I26" s="445"/>
      <c r="J26" s="458" t="s">
        <v>323</v>
      </c>
      <c r="K26" s="467"/>
      <c r="L26" s="445"/>
      <c r="M26" s="443"/>
      <c r="N26" s="378"/>
      <c r="O26" s="445"/>
      <c r="P26" s="465"/>
      <c r="Q26" s="466"/>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244"/>
      <c r="BC26" s="244"/>
      <c r="BD26" s="244"/>
      <c r="BE26" s="244"/>
    </row>
    <row r="27" spans="1:57" s="245" customFormat="1" ht="15" customHeight="1">
      <c r="A27" s="460"/>
      <c r="B27" s="461"/>
      <c r="C27" s="458"/>
      <c r="D27" s="472"/>
      <c r="E27" s="463"/>
      <c r="F27" s="445"/>
      <c r="G27" s="456"/>
      <c r="H27" s="456"/>
      <c r="I27" s="445"/>
      <c r="J27" s="458" t="s">
        <v>323</v>
      </c>
      <c r="K27" s="467"/>
      <c r="L27" s="445"/>
      <c r="M27" s="443"/>
      <c r="N27" s="378"/>
      <c r="O27" s="445"/>
      <c r="P27" s="465"/>
      <c r="Q27" s="466"/>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4"/>
      <c r="AT27" s="244"/>
      <c r="AU27" s="244"/>
      <c r="AV27" s="244"/>
      <c r="AW27" s="244"/>
      <c r="AX27" s="244"/>
      <c r="AY27" s="244"/>
      <c r="AZ27" s="244"/>
      <c r="BA27" s="244"/>
      <c r="BB27" s="244"/>
      <c r="BC27" s="244"/>
      <c r="BD27" s="244"/>
      <c r="BE27" s="244"/>
    </row>
    <row r="28" spans="1:57" s="245" customFormat="1" ht="43.5" customHeight="1">
      <c r="A28" s="460"/>
      <c r="B28" s="461"/>
      <c r="C28" s="458"/>
      <c r="D28" s="472"/>
      <c r="E28" s="463"/>
      <c r="F28" s="445"/>
      <c r="G28" s="456"/>
      <c r="H28" s="456"/>
      <c r="I28" s="445"/>
      <c r="J28" s="458" t="s">
        <v>323</v>
      </c>
      <c r="K28" s="467"/>
      <c r="L28" s="445"/>
      <c r="M28" s="443"/>
      <c r="N28" s="378"/>
      <c r="O28" s="445"/>
      <c r="P28" s="465"/>
      <c r="Q28" s="466"/>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c r="AR28" s="244"/>
      <c r="AS28" s="244"/>
      <c r="AT28" s="244"/>
      <c r="AU28" s="244"/>
      <c r="AV28" s="244"/>
      <c r="AW28" s="244"/>
      <c r="AX28" s="244"/>
      <c r="AY28" s="244"/>
      <c r="AZ28" s="244"/>
      <c r="BA28" s="244"/>
      <c r="BB28" s="244"/>
      <c r="BC28" s="244"/>
      <c r="BD28" s="244"/>
      <c r="BE28" s="244"/>
    </row>
    <row r="29" spans="1:57" s="245" customFormat="1" ht="15" customHeight="1">
      <c r="A29" s="460"/>
      <c r="B29" s="458" t="s">
        <v>570</v>
      </c>
      <c r="C29" s="461" t="s">
        <v>15</v>
      </c>
      <c r="D29" s="462">
        <f>187256000/1000000</f>
        <v>187.256</v>
      </c>
      <c r="E29" s="463" t="s">
        <v>571</v>
      </c>
      <c r="F29" s="464" t="s">
        <v>572</v>
      </c>
      <c r="G29" s="456">
        <v>40725</v>
      </c>
      <c r="H29" s="456">
        <v>40633</v>
      </c>
      <c r="I29" s="445">
        <v>661</v>
      </c>
      <c r="J29" s="457" t="s">
        <v>323</v>
      </c>
      <c r="K29" s="459">
        <v>4</v>
      </c>
      <c r="L29" s="445"/>
      <c r="M29" s="443"/>
      <c r="N29" s="444">
        <v>30.74</v>
      </c>
      <c r="O29" s="445"/>
      <c r="P29" s="446"/>
      <c r="Q29" s="447"/>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4"/>
      <c r="AY29" s="244"/>
      <c r="AZ29" s="244"/>
      <c r="BA29" s="244"/>
      <c r="BB29" s="244"/>
      <c r="BC29" s="244"/>
      <c r="BD29" s="244"/>
      <c r="BE29" s="244"/>
    </row>
    <row r="30" spans="1:57" s="245" customFormat="1" ht="15" customHeight="1">
      <c r="A30" s="460"/>
      <c r="B30" s="458"/>
      <c r="C30" s="461"/>
      <c r="D30" s="462"/>
      <c r="E30" s="463"/>
      <c r="F30" s="445"/>
      <c r="G30" s="456"/>
      <c r="H30" s="456"/>
      <c r="I30" s="445"/>
      <c r="J30" s="458"/>
      <c r="K30" s="445">
        <v>1</v>
      </c>
      <c r="L30" s="445"/>
      <c r="M30" s="443"/>
      <c r="N30" s="444"/>
      <c r="O30" s="445"/>
      <c r="P30" s="446"/>
      <c r="Q30" s="447"/>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44"/>
      <c r="AY30" s="244"/>
      <c r="AZ30" s="244"/>
      <c r="BA30" s="244"/>
      <c r="BB30" s="244"/>
      <c r="BC30" s="244"/>
      <c r="BD30" s="244"/>
      <c r="BE30" s="244"/>
    </row>
    <row r="31" spans="1:57" s="245" customFormat="1" ht="15" customHeight="1">
      <c r="A31" s="460"/>
      <c r="B31" s="458"/>
      <c r="C31" s="461"/>
      <c r="D31" s="462"/>
      <c r="E31" s="463"/>
      <c r="F31" s="445"/>
      <c r="G31" s="456"/>
      <c r="H31" s="456"/>
      <c r="I31" s="445"/>
      <c r="J31" s="458"/>
      <c r="K31" s="445">
        <v>1</v>
      </c>
      <c r="L31" s="445"/>
      <c r="M31" s="443"/>
      <c r="N31" s="444"/>
      <c r="O31" s="445"/>
      <c r="P31" s="446"/>
      <c r="Q31" s="447"/>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row>
    <row r="32" spans="1:57" s="245" customFormat="1" ht="15" customHeight="1">
      <c r="A32" s="460"/>
      <c r="B32" s="458"/>
      <c r="C32" s="461"/>
      <c r="D32" s="462"/>
      <c r="E32" s="463"/>
      <c r="F32" s="445"/>
      <c r="G32" s="456"/>
      <c r="H32" s="456"/>
      <c r="I32" s="445"/>
      <c r="J32" s="458"/>
      <c r="K32" s="445">
        <v>1</v>
      </c>
      <c r="L32" s="445"/>
      <c r="M32" s="443"/>
      <c r="N32" s="444"/>
      <c r="O32" s="445"/>
      <c r="P32" s="446"/>
      <c r="Q32" s="447"/>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row>
    <row r="33" spans="1:57" s="245" customFormat="1" ht="15" customHeight="1">
      <c r="A33" s="460"/>
      <c r="B33" s="458"/>
      <c r="C33" s="461"/>
      <c r="D33" s="462"/>
      <c r="E33" s="463"/>
      <c r="F33" s="445"/>
      <c r="G33" s="456"/>
      <c r="H33" s="456"/>
      <c r="I33" s="445"/>
      <c r="J33" s="458"/>
      <c r="K33" s="445">
        <v>1</v>
      </c>
      <c r="L33" s="445"/>
      <c r="M33" s="443"/>
      <c r="N33" s="444"/>
      <c r="O33" s="445"/>
      <c r="P33" s="446"/>
      <c r="Q33" s="447"/>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row>
    <row r="34" spans="1:57" s="245" customFormat="1" ht="36.75" customHeight="1">
      <c r="A34" s="460"/>
      <c r="B34" s="458"/>
      <c r="C34" s="461"/>
      <c r="D34" s="462"/>
      <c r="E34" s="463"/>
      <c r="F34" s="445"/>
      <c r="G34" s="456"/>
      <c r="H34" s="456"/>
      <c r="I34" s="445"/>
      <c r="J34" s="458"/>
      <c r="K34" s="445">
        <v>1</v>
      </c>
      <c r="L34" s="445"/>
      <c r="M34" s="443"/>
      <c r="N34" s="444"/>
      <c r="O34" s="445"/>
      <c r="P34" s="446"/>
      <c r="Q34" s="447"/>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4"/>
      <c r="AZ34" s="244"/>
      <c r="BA34" s="244"/>
      <c r="BB34" s="244"/>
      <c r="BC34" s="244"/>
      <c r="BD34" s="244"/>
      <c r="BE34" s="244"/>
    </row>
    <row r="35" spans="1:57" s="245" customFormat="1" ht="127.5">
      <c r="A35" s="246"/>
      <c r="B35" s="247" t="s">
        <v>573</v>
      </c>
      <c r="C35" s="248" t="s">
        <v>14</v>
      </c>
      <c r="D35" s="249">
        <v>90</v>
      </c>
      <c r="E35" s="247" t="s">
        <v>574</v>
      </c>
      <c r="F35" s="249"/>
      <c r="G35" s="250">
        <v>40994</v>
      </c>
      <c r="H35" s="250">
        <v>41359</v>
      </c>
      <c r="I35" s="251">
        <v>631</v>
      </c>
      <c r="J35" s="252" t="s">
        <v>575</v>
      </c>
      <c r="K35" s="251">
        <v>0.25</v>
      </c>
      <c r="L35" s="249"/>
      <c r="M35" s="249"/>
      <c r="N35" s="253">
        <v>27</v>
      </c>
      <c r="O35" s="249"/>
      <c r="P35" s="254">
        <f>+O35/N35</f>
        <v>0</v>
      </c>
      <c r="Q35" s="255"/>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row>
    <row r="36" spans="1:57" s="245" customFormat="1" ht="76.5">
      <c r="A36" s="246"/>
      <c r="B36" s="247" t="s">
        <v>576</v>
      </c>
      <c r="C36" s="248" t="s">
        <v>14</v>
      </c>
      <c r="D36" s="249">
        <v>15</v>
      </c>
      <c r="E36" s="247" t="s">
        <v>577</v>
      </c>
      <c r="F36" s="249"/>
      <c r="G36" s="250">
        <v>41106</v>
      </c>
      <c r="H36" s="250">
        <v>41471</v>
      </c>
      <c r="I36" s="251">
        <v>631</v>
      </c>
      <c r="J36" s="252" t="s">
        <v>578</v>
      </c>
      <c r="K36" s="251">
        <v>1</v>
      </c>
      <c r="L36" s="249"/>
      <c r="M36" s="256"/>
      <c r="N36" s="253">
        <v>15</v>
      </c>
      <c r="O36" s="249"/>
      <c r="P36" s="254">
        <f>+O36/N36</f>
        <v>0</v>
      </c>
      <c r="Q36" s="255"/>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row>
    <row r="37" spans="1:57" s="245" customFormat="1" ht="76.5">
      <c r="A37" s="246"/>
      <c r="B37" s="247" t="s">
        <v>579</v>
      </c>
      <c r="C37" s="248" t="s">
        <v>14</v>
      </c>
      <c r="D37" s="249">
        <v>831</v>
      </c>
      <c r="E37" s="247" t="s">
        <v>580</v>
      </c>
      <c r="F37" s="249"/>
      <c r="G37" s="250">
        <v>40984</v>
      </c>
      <c r="H37" s="250">
        <v>41349</v>
      </c>
      <c r="I37" s="251">
        <v>631</v>
      </c>
      <c r="J37" s="252" t="s">
        <v>581</v>
      </c>
      <c r="K37" s="251">
        <v>1</v>
      </c>
      <c r="L37" s="249"/>
      <c r="M37" s="256"/>
      <c r="N37" s="253">
        <v>831</v>
      </c>
      <c r="O37" s="249"/>
      <c r="P37" s="254">
        <f t="shared" ref="P37:P38" si="0">+O37/N37</f>
        <v>0</v>
      </c>
      <c r="Q37" s="255"/>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row>
    <row r="38" spans="1:57" s="245" customFormat="1" ht="89.25">
      <c r="A38" s="246"/>
      <c r="B38" s="247" t="s">
        <v>582</v>
      </c>
      <c r="C38" s="248" t="s">
        <v>14</v>
      </c>
      <c r="D38" s="249">
        <v>415</v>
      </c>
      <c r="E38" s="247" t="s">
        <v>583</v>
      </c>
      <c r="F38" s="249"/>
      <c r="G38" s="250">
        <v>41077</v>
      </c>
      <c r="H38" s="250">
        <v>41442</v>
      </c>
      <c r="I38" s="251">
        <v>631</v>
      </c>
      <c r="J38" s="252" t="s">
        <v>584</v>
      </c>
      <c r="K38" s="251">
        <v>1</v>
      </c>
      <c r="L38" s="249"/>
      <c r="M38" s="256"/>
      <c r="N38" s="253">
        <v>415</v>
      </c>
      <c r="O38" s="249"/>
      <c r="P38" s="254">
        <f t="shared" si="0"/>
        <v>0</v>
      </c>
      <c r="Q38" s="255"/>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row>
    <row r="39" spans="1:57" s="174" customFormat="1" ht="25.5">
      <c r="A39" s="448">
        <v>5</v>
      </c>
      <c r="B39" s="450" t="s">
        <v>585</v>
      </c>
      <c r="C39" s="439" t="s">
        <v>14</v>
      </c>
      <c r="D39" s="452">
        <v>4489</v>
      </c>
      <c r="E39" s="257" t="s">
        <v>586</v>
      </c>
      <c r="F39" s="257" t="s">
        <v>587</v>
      </c>
      <c r="G39" s="258">
        <v>2010</v>
      </c>
      <c r="H39" s="258">
        <v>2012</v>
      </c>
      <c r="I39" s="454">
        <v>630</v>
      </c>
      <c r="J39" s="439" t="s">
        <v>434</v>
      </c>
      <c r="K39" s="439">
        <v>45</v>
      </c>
      <c r="L39" s="441"/>
      <c r="M39" s="441"/>
      <c r="N39" s="259">
        <v>1088</v>
      </c>
      <c r="O39" s="259"/>
      <c r="P39" s="260">
        <f>+O39/N39*100</f>
        <v>0</v>
      </c>
      <c r="Q39" s="26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1"/>
      <c r="AX39" s="191"/>
      <c r="AY39" s="191"/>
      <c r="AZ39" s="191"/>
      <c r="BA39" s="191"/>
      <c r="BB39" s="191"/>
      <c r="BC39" s="191"/>
      <c r="BD39" s="191"/>
      <c r="BE39" s="191"/>
    </row>
    <row r="40" spans="1:57" s="174" customFormat="1" ht="114.75">
      <c r="A40" s="449"/>
      <c r="B40" s="451"/>
      <c r="C40" s="440"/>
      <c r="D40" s="453"/>
      <c r="E40" s="262" t="s">
        <v>588</v>
      </c>
      <c r="F40" s="262"/>
      <c r="G40" s="263"/>
      <c r="H40" s="263"/>
      <c r="I40" s="455"/>
      <c r="J40" s="440"/>
      <c r="K40" s="440"/>
      <c r="L40" s="442"/>
      <c r="M40" s="442"/>
      <c r="N40" s="264">
        <v>640</v>
      </c>
      <c r="O40" s="264"/>
      <c r="P40" s="265">
        <f>+O40/N40*100</f>
        <v>0</v>
      </c>
      <c r="Q40" s="266"/>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1"/>
      <c r="AQ40" s="191"/>
      <c r="AR40" s="191"/>
      <c r="AS40" s="191"/>
      <c r="AT40" s="191"/>
      <c r="AU40" s="191"/>
      <c r="AV40" s="191"/>
      <c r="AW40" s="191"/>
      <c r="AX40" s="191"/>
      <c r="AY40" s="191"/>
      <c r="AZ40" s="191"/>
      <c r="BA40" s="191"/>
      <c r="BB40" s="191"/>
      <c r="BC40" s="191"/>
      <c r="BD40" s="191"/>
      <c r="BE40" s="191"/>
    </row>
    <row r="41" spans="1:57" s="200" customFormat="1" ht="15.75" customHeight="1">
      <c r="A41" s="433"/>
      <c r="B41" s="435" t="s">
        <v>589</v>
      </c>
      <c r="C41" s="435" t="s">
        <v>15</v>
      </c>
      <c r="D41" s="437">
        <v>1985</v>
      </c>
      <c r="E41" s="202" t="s">
        <v>590</v>
      </c>
      <c r="F41" s="267" t="s">
        <v>591</v>
      </c>
      <c r="G41" s="250"/>
      <c r="H41" s="250"/>
      <c r="I41" s="208">
        <v>9045</v>
      </c>
      <c r="J41" s="435" t="s">
        <v>563</v>
      </c>
      <c r="K41" s="427">
        <v>2</v>
      </c>
      <c r="L41" s="427">
        <v>1</v>
      </c>
      <c r="M41" s="427">
        <v>1</v>
      </c>
      <c r="N41" s="429">
        <v>300</v>
      </c>
      <c r="O41" s="427"/>
      <c r="P41" s="427">
        <f>O41/N41</f>
        <v>0</v>
      </c>
      <c r="Q41" s="431"/>
    </row>
    <row r="42" spans="1:57" s="200" customFormat="1" ht="51">
      <c r="A42" s="433"/>
      <c r="B42" s="435"/>
      <c r="C42" s="435"/>
      <c r="D42" s="437"/>
      <c r="E42" s="202" t="s">
        <v>592</v>
      </c>
      <c r="F42" s="214"/>
      <c r="G42" s="250"/>
      <c r="H42" s="250"/>
      <c r="I42" s="208">
        <v>9055</v>
      </c>
      <c r="J42" s="435"/>
      <c r="K42" s="427"/>
      <c r="L42" s="427"/>
      <c r="M42" s="427"/>
      <c r="N42" s="429"/>
      <c r="O42" s="427"/>
      <c r="P42" s="427"/>
      <c r="Q42" s="431"/>
    </row>
    <row r="43" spans="1:57" s="200" customFormat="1" ht="102">
      <c r="A43" s="433"/>
      <c r="B43" s="435"/>
      <c r="C43" s="435"/>
      <c r="D43" s="437"/>
      <c r="E43" s="202" t="s">
        <v>593</v>
      </c>
      <c r="F43" s="214" t="s">
        <v>594</v>
      </c>
      <c r="G43" s="250">
        <v>40528</v>
      </c>
      <c r="H43" s="250">
        <v>41623</v>
      </c>
      <c r="I43" s="208">
        <v>9055</v>
      </c>
      <c r="J43" s="435"/>
      <c r="K43" s="427"/>
      <c r="L43" s="427"/>
      <c r="M43" s="427"/>
      <c r="N43" s="429"/>
      <c r="O43" s="427"/>
      <c r="P43" s="427"/>
      <c r="Q43" s="431"/>
    </row>
    <row r="44" spans="1:57" s="200" customFormat="1" ht="99.75" customHeight="1">
      <c r="A44" s="433"/>
      <c r="B44" s="435"/>
      <c r="C44" s="435"/>
      <c r="D44" s="437"/>
      <c r="E44" s="202" t="s">
        <v>595</v>
      </c>
      <c r="F44" s="214" t="s">
        <v>596</v>
      </c>
      <c r="G44" s="202"/>
      <c r="H44" s="202"/>
      <c r="I44" s="269">
        <v>5125</v>
      </c>
      <c r="J44" s="435"/>
      <c r="K44" s="427"/>
      <c r="L44" s="427"/>
      <c r="M44" s="427"/>
      <c r="N44" s="429"/>
      <c r="O44" s="427"/>
      <c r="P44" s="427"/>
      <c r="Q44" s="431"/>
    </row>
    <row r="45" spans="1:57" s="200" customFormat="1" ht="15" customHeight="1">
      <c r="A45" s="433"/>
      <c r="B45" s="435" t="s">
        <v>597</v>
      </c>
      <c r="C45" s="435" t="s">
        <v>15</v>
      </c>
      <c r="D45" s="437">
        <v>5049</v>
      </c>
      <c r="E45" s="202" t="s">
        <v>598</v>
      </c>
      <c r="F45" s="214" t="s">
        <v>599</v>
      </c>
      <c r="G45" s="250">
        <v>40791</v>
      </c>
      <c r="H45" s="250">
        <v>41522</v>
      </c>
      <c r="I45" s="208">
        <v>9045</v>
      </c>
      <c r="J45" s="435" t="s">
        <v>563</v>
      </c>
      <c r="K45" s="427">
        <v>2</v>
      </c>
      <c r="L45" s="427"/>
      <c r="M45" s="427"/>
      <c r="N45" s="429">
        <v>2060</v>
      </c>
      <c r="O45" s="427"/>
      <c r="P45" s="427">
        <f>O45/N45</f>
        <v>0</v>
      </c>
      <c r="Q45" s="431"/>
    </row>
    <row r="46" spans="1:57" s="200" customFormat="1" ht="102">
      <c r="A46" s="433"/>
      <c r="B46" s="435"/>
      <c r="C46" s="435"/>
      <c r="D46" s="437"/>
      <c r="E46" s="202" t="s">
        <v>600</v>
      </c>
      <c r="F46" s="214" t="s">
        <v>601</v>
      </c>
      <c r="G46" s="250"/>
      <c r="H46" s="250"/>
      <c r="I46" s="208">
        <v>9055</v>
      </c>
      <c r="J46" s="435"/>
      <c r="K46" s="427"/>
      <c r="L46" s="427"/>
      <c r="M46" s="427"/>
      <c r="N46" s="429"/>
      <c r="O46" s="427"/>
      <c r="P46" s="427"/>
      <c r="Q46" s="431"/>
    </row>
    <row r="47" spans="1:57" s="200" customFormat="1" ht="76.5">
      <c r="A47" s="433"/>
      <c r="B47" s="435"/>
      <c r="C47" s="435"/>
      <c r="D47" s="437"/>
      <c r="E47" s="202" t="s">
        <v>602</v>
      </c>
      <c r="F47" s="214"/>
      <c r="G47" s="250"/>
      <c r="H47" s="250"/>
      <c r="I47" s="208">
        <v>9055</v>
      </c>
      <c r="J47" s="435"/>
      <c r="K47" s="427"/>
      <c r="L47" s="427"/>
      <c r="M47" s="427"/>
      <c r="N47" s="429"/>
      <c r="O47" s="427"/>
      <c r="P47" s="427"/>
      <c r="Q47" s="431"/>
    </row>
    <row r="48" spans="1:57" s="200" customFormat="1" ht="128.25" thickBot="1">
      <c r="A48" s="434"/>
      <c r="B48" s="436"/>
      <c r="C48" s="436"/>
      <c r="D48" s="438"/>
      <c r="E48" s="270" t="s">
        <v>603</v>
      </c>
      <c r="F48" s="271"/>
      <c r="G48" s="270"/>
      <c r="H48" s="270"/>
      <c r="I48" s="272">
        <v>9045</v>
      </c>
      <c r="J48" s="436"/>
      <c r="K48" s="428"/>
      <c r="L48" s="428"/>
      <c r="M48" s="428"/>
      <c r="N48" s="430"/>
      <c r="O48" s="428"/>
      <c r="P48" s="428"/>
      <c r="Q48" s="432"/>
    </row>
    <row r="49" ht="15.75" thickTop="1"/>
  </sheetData>
  <mergeCells count="92">
    <mergeCell ref="A1:Q1"/>
    <mergeCell ref="A2:Q2"/>
    <mergeCell ref="A3:Q3"/>
    <mergeCell ref="A5:A6"/>
    <mergeCell ref="B5:B6"/>
    <mergeCell ref="C5:C6"/>
    <mergeCell ref="D5:D6"/>
    <mergeCell ref="E5:E6"/>
    <mergeCell ref="F5:F6"/>
    <mergeCell ref="G5:H5"/>
    <mergeCell ref="A7:A9"/>
    <mergeCell ref="B7:B9"/>
    <mergeCell ref="C7:C9"/>
    <mergeCell ref="D7:D9"/>
    <mergeCell ref="E7:E9"/>
    <mergeCell ref="I5:I6"/>
    <mergeCell ref="J5:J6"/>
    <mergeCell ref="K5:M5"/>
    <mergeCell ref="N5:P5"/>
    <mergeCell ref="Q5:Q6"/>
    <mergeCell ref="A21:A28"/>
    <mergeCell ref="B21:B28"/>
    <mergeCell ref="C21:C28"/>
    <mergeCell ref="D21:D28"/>
    <mergeCell ref="E21:E28"/>
    <mergeCell ref="F7:F9"/>
    <mergeCell ref="G7:G9"/>
    <mergeCell ref="H7:H9"/>
    <mergeCell ref="I7:I9"/>
    <mergeCell ref="J7:J9"/>
    <mergeCell ref="Q21:Q28"/>
    <mergeCell ref="F21:F28"/>
    <mergeCell ref="G21:G28"/>
    <mergeCell ref="H21:H28"/>
    <mergeCell ref="I21:I28"/>
    <mergeCell ref="J21:J28"/>
    <mergeCell ref="K21:K28"/>
    <mergeCell ref="L21:L28"/>
    <mergeCell ref="M21:M28"/>
    <mergeCell ref="N21:N28"/>
    <mergeCell ref="O21:O28"/>
    <mergeCell ref="P21:P28"/>
    <mergeCell ref="L29:L34"/>
    <mergeCell ref="A29:A34"/>
    <mergeCell ref="B29:B34"/>
    <mergeCell ref="C29:C34"/>
    <mergeCell ref="D29:D34"/>
    <mergeCell ref="E29:E34"/>
    <mergeCell ref="F29:F34"/>
    <mergeCell ref="G29:G34"/>
    <mergeCell ref="H29:H34"/>
    <mergeCell ref="I29:I34"/>
    <mergeCell ref="J29:J34"/>
    <mergeCell ref="K29:K34"/>
    <mergeCell ref="A39:A40"/>
    <mergeCell ref="B39:B40"/>
    <mergeCell ref="C39:C40"/>
    <mergeCell ref="D39:D40"/>
    <mergeCell ref="I39:I40"/>
    <mergeCell ref="M29:M34"/>
    <mergeCell ref="N29:N34"/>
    <mergeCell ref="O29:O34"/>
    <mergeCell ref="P29:P34"/>
    <mergeCell ref="Q29:Q34"/>
    <mergeCell ref="A41:A44"/>
    <mergeCell ref="B41:B44"/>
    <mergeCell ref="C41:C44"/>
    <mergeCell ref="D41:D44"/>
    <mergeCell ref="J41:J44"/>
    <mergeCell ref="Q41:Q44"/>
    <mergeCell ref="J39:J40"/>
    <mergeCell ref="K39:K40"/>
    <mergeCell ref="L39:L40"/>
    <mergeCell ref="M39:M40"/>
    <mergeCell ref="K41:K44"/>
    <mergeCell ref="L41:L44"/>
    <mergeCell ref="M41:M44"/>
    <mergeCell ref="N41:N44"/>
    <mergeCell ref="O41:O44"/>
    <mergeCell ref="P41:P44"/>
    <mergeCell ref="Q45:Q48"/>
    <mergeCell ref="A45:A48"/>
    <mergeCell ref="B45:B48"/>
    <mergeCell ref="C45:C48"/>
    <mergeCell ref="D45:D48"/>
    <mergeCell ref="J45:J48"/>
    <mergeCell ref="K45:K48"/>
    <mergeCell ref="L45:L48"/>
    <mergeCell ref="M45:M48"/>
    <mergeCell ref="N45:N48"/>
    <mergeCell ref="O45:O48"/>
    <mergeCell ref="P45:P48"/>
  </mergeCells>
  <dataValidations count="3">
    <dataValidation type="list" allowBlank="1" showInputMessage="1" showErrorMessage="1" sqref="C41 C45 C7:D10 C12:D15 C29">
      <formula1>#REF!</formula1>
    </dataValidation>
    <dataValidation type="list" allowBlank="1" showInputMessage="1" showErrorMessage="1" sqref="C39:C40">
      <formula1>$R$1:$R$3</formula1>
    </dataValidation>
    <dataValidation type="list" allowBlank="1" showInputMessage="1" showErrorMessage="1" sqref="C11:D11 C21">
      <formula1>#REF!</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dimension ref="A1:R10"/>
  <sheetViews>
    <sheetView zoomScaleNormal="100" workbookViewId="0">
      <selection activeCell="A2" sqref="A2:Q2"/>
    </sheetView>
  </sheetViews>
  <sheetFormatPr baseColWidth="10" defaultRowHeight="15"/>
  <cols>
    <col min="1" max="1" width="5.7109375" customWidth="1"/>
    <col min="2" max="2" width="16.28515625" customWidth="1"/>
    <col min="3" max="3" width="10.28515625" customWidth="1"/>
    <col min="5" max="5" width="40.42578125" style="188" customWidth="1"/>
    <col min="6" max="6" width="22.7109375" customWidth="1"/>
    <col min="9" max="9" width="15.7109375" customWidth="1"/>
    <col min="14" max="14" width="12.140625" customWidth="1"/>
    <col min="17" max="17" width="12.7109375" customWidth="1"/>
  </cols>
  <sheetData>
    <row r="1" spans="1:18" ht="18.75">
      <c r="A1" s="424" t="s">
        <v>0</v>
      </c>
      <c r="B1" s="425"/>
      <c r="C1" s="425"/>
      <c r="D1" s="425"/>
      <c r="E1" s="425"/>
      <c r="F1" s="425"/>
      <c r="G1" s="425"/>
      <c r="H1" s="425"/>
      <c r="I1" s="425"/>
      <c r="J1" s="425"/>
      <c r="K1" s="425"/>
      <c r="L1" s="425"/>
      <c r="M1" s="425"/>
      <c r="N1" s="425"/>
      <c r="O1" s="425"/>
      <c r="P1" s="425"/>
      <c r="Q1" s="425"/>
      <c r="R1" s="66" t="s">
        <v>14</v>
      </c>
    </row>
    <row r="2" spans="1:18" ht="18.75">
      <c r="A2" s="424" t="s">
        <v>512</v>
      </c>
      <c r="B2" s="425"/>
      <c r="C2" s="425"/>
      <c r="D2" s="425"/>
      <c r="E2" s="425"/>
      <c r="F2" s="425"/>
      <c r="G2" s="425"/>
      <c r="H2" s="425"/>
      <c r="I2" s="425"/>
      <c r="J2" s="425"/>
      <c r="K2" s="425"/>
      <c r="L2" s="425"/>
      <c r="M2" s="425"/>
      <c r="N2" s="425"/>
      <c r="O2" s="425"/>
      <c r="P2" s="425"/>
      <c r="Q2" s="425"/>
      <c r="R2" s="66" t="s">
        <v>15</v>
      </c>
    </row>
    <row r="3" spans="1:18" ht="18.75">
      <c r="A3" s="426" t="s">
        <v>25</v>
      </c>
      <c r="B3" s="425"/>
      <c r="C3" s="425"/>
      <c r="D3" s="425"/>
      <c r="E3" s="425"/>
      <c r="F3" s="425"/>
      <c r="G3" s="425"/>
      <c r="H3" s="425"/>
      <c r="I3" s="425"/>
      <c r="J3" s="425"/>
      <c r="K3" s="425"/>
      <c r="L3" s="425"/>
      <c r="M3" s="425"/>
      <c r="N3" s="425"/>
      <c r="O3" s="425"/>
      <c r="P3" s="425"/>
      <c r="Q3" s="425"/>
      <c r="R3" s="66" t="s">
        <v>160</v>
      </c>
    </row>
    <row r="4" spans="1:18" ht="15.75" thickBot="1">
      <c r="A4" s="67"/>
      <c r="B4" s="54"/>
      <c r="C4" s="54"/>
      <c r="D4" s="54"/>
      <c r="E4" s="55"/>
      <c r="F4" s="54"/>
      <c r="G4" s="54"/>
      <c r="H4" s="54"/>
      <c r="I4" s="54"/>
      <c r="J4" s="54"/>
      <c r="K4" s="54"/>
      <c r="L4" s="54"/>
      <c r="M4" s="54"/>
      <c r="N4" s="54"/>
      <c r="O4" s="54"/>
      <c r="P4" s="54"/>
      <c r="Q4" s="54"/>
    </row>
    <row r="5" spans="1:18" ht="16.5" thickTop="1" thickBot="1">
      <c r="A5" s="411" t="s">
        <v>1</v>
      </c>
      <c r="B5" s="411" t="s">
        <v>2</v>
      </c>
      <c r="C5" s="409" t="s">
        <v>3</v>
      </c>
      <c r="D5" s="409" t="s">
        <v>19</v>
      </c>
      <c r="E5" s="409" t="s">
        <v>4</v>
      </c>
      <c r="F5" s="409" t="s">
        <v>5</v>
      </c>
      <c r="G5" s="422" t="s">
        <v>17</v>
      </c>
      <c r="H5" s="423"/>
      <c r="I5" s="409" t="s">
        <v>6</v>
      </c>
      <c r="J5" s="411" t="s">
        <v>7</v>
      </c>
      <c r="K5" s="413" t="s">
        <v>8</v>
      </c>
      <c r="L5" s="413"/>
      <c r="M5" s="413"/>
      <c r="N5" s="413" t="s">
        <v>9</v>
      </c>
      <c r="O5" s="414"/>
      <c r="P5" s="414"/>
      <c r="Q5" s="415" t="s">
        <v>161</v>
      </c>
    </row>
    <row r="6" spans="1:18" s="174" customFormat="1" ht="45" customHeight="1" thickTop="1" thickBot="1">
      <c r="A6" s="412"/>
      <c r="B6" s="412"/>
      <c r="C6" s="410"/>
      <c r="D6" s="410"/>
      <c r="E6" s="410"/>
      <c r="F6" s="410"/>
      <c r="G6" s="173" t="s">
        <v>16</v>
      </c>
      <c r="H6" s="173" t="s">
        <v>18</v>
      </c>
      <c r="I6" s="410"/>
      <c r="J6" s="412"/>
      <c r="K6" s="136" t="s">
        <v>10</v>
      </c>
      <c r="L6" s="136" t="s">
        <v>24</v>
      </c>
      <c r="M6" s="136" t="s">
        <v>11</v>
      </c>
      <c r="N6" s="136" t="s">
        <v>12</v>
      </c>
      <c r="O6" s="136" t="s">
        <v>24</v>
      </c>
      <c r="P6" s="136" t="s">
        <v>13</v>
      </c>
      <c r="Q6" s="416"/>
    </row>
    <row r="7" spans="1:18" ht="77.25" thickTop="1">
      <c r="A7" s="175">
        <v>1</v>
      </c>
      <c r="B7" s="176" t="s">
        <v>513</v>
      </c>
      <c r="C7" s="177" t="s">
        <v>44</v>
      </c>
      <c r="D7" s="178"/>
      <c r="E7" s="177" t="s">
        <v>514</v>
      </c>
      <c r="F7" s="179" t="s">
        <v>41</v>
      </c>
      <c r="G7" s="96" t="s">
        <v>196</v>
      </c>
      <c r="H7" s="96" t="s">
        <v>196</v>
      </c>
      <c r="I7" s="96">
        <v>5180</v>
      </c>
      <c r="J7" s="179" t="s">
        <v>220</v>
      </c>
      <c r="K7" s="179">
        <v>4</v>
      </c>
      <c r="L7" s="179"/>
      <c r="M7" s="179"/>
      <c r="N7" s="179">
        <v>289</v>
      </c>
      <c r="O7" s="179"/>
      <c r="P7" s="179"/>
      <c r="Q7" s="180"/>
      <c r="R7" s="122"/>
    </row>
    <row r="8" spans="1:18" ht="25.5">
      <c r="A8" s="484">
        <v>2</v>
      </c>
      <c r="B8" s="486" t="s">
        <v>515</v>
      </c>
      <c r="C8" s="181" t="s">
        <v>39</v>
      </c>
      <c r="D8" s="178"/>
      <c r="E8" s="177" t="s">
        <v>516</v>
      </c>
      <c r="F8" s="179" t="s">
        <v>41</v>
      </c>
      <c r="G8" s="96" t="s">
        <v>196</v>
      </c>
      <c r="H8" s="96" t="s">
        <v>196</v>
      </c>
      <c r="I8" s="96">
        <v>5129</v>
      </c>
      <c r="J8" s="179" t="s">
        <v>37</v>
      </c>
      <c r="K8" s="179">
        <v>1</v>
      </c>
      <c r="L8" s="177"/>
      <c r="M8" s="177"/>
      <c r="N8" s="179">
        <v>232</v>
      </c>
      <c r="O8" s="177"/>
      <c r="P8" s="177"/>
      <c r="Q8" s="182"/>
      <c r="R8" s="122"/>
    </row>
    <row r="9" spans="1:18" ht="63.75">
      <c r="A9" s="485"/>
      <c r="B9" s="487"/>
      <c r="C9" s="177" t="s">
        <v>44</v>
      </c>
      <c r="D9" s="183"/>
      <c r="E9" s="177" t="s">
        <v>517</v>
      </c>
      <c r="F9" s="179" t="s">
        <v>518</v>
      </c>
      <c r="G9" s="184">
        <v>40695</v>
      </c>
      <c r="H9" s="184">
        <v>41061</v>
      </c>
      <c r="I9" s="96">
        <v>5129</v>
      </c>
      <c r="J9" s="179" t="s">
        <v>220</v>
      </c>
      <c r="K9" s="179">
        <v>10</v>
      </c>
      <c r="L9" s="177"/>
      <c r="M9" s="177"/>
      <c r="N9" s="179">
        <v>800</v>
      </c>
      <c r="O9" s="177"/>
      <c r="P9" s="177"/>
      <c r="Q9" s="182"/>
      <c r="R9" s="122"/>
    </row>
    <row r="10" spans="1:18">
      <c r="A10" s="185"/>
      <c r="B10" s="186"/>
      <c r="C10" s="186"/>
      <c r="D10" s="186"/>
      <c r="E10" s="186"/>
      <c r="F10" s="186"/>
      <c r="G10" s="186"/>
      <c r="H10" s="186"/>
      <c r="I10" s="186"/>
      <c r="J10" s="186"/>
      <c r="K10" s="186"/>
      <c r="L10" s="186"/>
      <c r="M10" s="186"/>
      <c r="N10" s="186"/>
      <c r="O10" s="186"/>
      <c r="P10" s="186"/>
      <c r="Q10" s="187"/>
    </row>
  </sheetData>
  <mergeCells count="17">
    <mergeCell ref="A8:A9"/>
    <mergeCell ref="B8:B9"/>
    <mergeCell ref="A1:Q1"/>
    <mergeCell ref="A2:Q2"/>
    <mergeCell ref="A3:Q3"/>
    <mergeCell ref="A5:A6"/>
    <mergeCell ref="B5:B6"/>
    <mergeCell ref="C5:C6"/>
    <mergeCell ref="D5:D6"/>
    <mergeCell ref="E5:E6"/>
    <mergeCell ref="F5:F6"/>
    <mergeCell ref="G5:H5"/>
    <mergeCell ref="I5:I6"/>
    <mergeCell ref="J5:J6"/>
    <mergeCell ref="K5:M5"/>
    <mergeCell ref="N5:P5"/>
    <mergeCell ref="Q5:Q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R76"/>
  <sheetViews>
    <sheetView showGridLines="0" zoomScale="77" zoomScaleNormal="77" workbookViewId="0">
      <selection activeCell="O27" sqref="O27"/>
    </sheetView>
  </sheetViews>
  <sheetFormatPr baseColWidth="10" defaultRowHeight="15"/>
  <cols>
    <col min="1" max="1" width="4.7109375" customWidth="1"/>
    <col min="2" max="2" width="21.7109375" customWidth="1"/>
    <col min="3" max="3" width="15.140625" customWidth="1"/>
    <col min="4" max="4" width="15.5703125" customWidth="1"/>
    <col min="5" max="5" width="23" customWidth="1"/>
    <col min="6" max="6" width="16.140625" style="132" customWidth="1"/>
    <col min="7" max="7" width="14.42578125" style="132" customWidth="1"/>
    <col min="8" max="8" width="12.5703125" style="132" customWidth="1"/>
    <col min="9" max="9" width="13.42578125" style="132" customWidth="1"/>
    <col min="10" max="10" width="11.7109375" style="132" customWidth="1"/>
    <col min="11" max="11" width="13.28515625" style="132" customWidth="1"/>
    <col min="12" max="12" width="12.7109375" style="132" customWidth="1"/>
    <col min="13" max="13" width="7.7109375" style="132" customWidth="1"/>
    <col min="14" max="14" width="11" style="132" customWidth="1"/>
    <col min="15" max="15" width="12.7109375" style="133" customWidth="1"/>
    <col min="16" max="16" width="9.7109375" style="133" customWidth="1"/>
    <col min="17" max="17" width="20.7109375" style="134" customWidth="1"/>
  </cols>
  <sheetData>
    <row r="1" spans="1:18" ht="18.75">
      <c r="A1" s="424" t="s">
        <v>0</v>
      </c>
      <c r="B1" s="425"/>
      <c r="C1" s="425"/>
      <c r="D1" s="425"/>
      <c r="E1" s="425"/>
      <c r="F1" s="425"/>
      <c r="G1" s="425"/>
      <c r="H1" s="425"/>
      <c r="I1" s="425"/>
      <c r="J1" s="425"/>
      <c r="K1" s="425"/>
      <c r="L1" s="425"/>
      <c r="M1" s="425"/>
      <c r="N1" s="425"/>
      <c r="O1" s="425"/>
      <c r="P1" s="425"/>
      <c r="Q1" s="425"/>
      <c r="R1" s="66" t="s">
        <v>14</v>
      </c>
    </row>
    <row r="2" spans="1:18" ht="18.75">
      <c r="A2" s="424" t="s">
        <v>209</v>
      </c>
      <c r="B2" s="425"/>
      <c r="C2" s="425"/>
      <c r="D2" s="425"/>
      <c r="E2" s="425"/>
      <c r="F2" s="425"/>
      <c r="G2" s="425"/>
      <c r="H2" s="425"/>
      <c r="I2" s="425"/>
      <c r="J2" s="425"/>
      <c r="K2" s="425"/>
      <c r="L2" s="425"/>
      <c r="M2" s="425"/>
      <c r="N2" s="425"/>
      <c r="O2" s="425"/>
      <c r="P2" s="425"/>
      <c r="Q2" s="425"/>
      <c r="R2" s="66" t="s">
        <v>15</v>
      </c>
    </row>
    <row r="3" spans="1:18" ht="18.75">
      <c r="A3" s="426" t="s">
        <v>25</v>
      </c>
      <c r="B3" s="425"/>
      <c r="C3" s="425"/>
      <c r="D3" s="425"/>
      <c r="E3" s="425"/>
      <c r="F3" s="425"/>
      <c r="G3" s="425"/>
      <c r="H3" s="425"/>
      <c r="I3" s="425"/>
      <c r="J3" s="425"/>
      <c r="K3" s="425"/>
      <c r="L3" s="425"/>
      <c r="M3" s="425"/>
      <c r="N3" s="425"/>
      <c r="O3" s="425"/>
      <c r="P3" s="425"/>
      <c r="Q3" s="425"/>
      <c r="R3" s="66" t="s">
        <v>160</v>
      </c>
    </row>
    <row r="4" spans="1:18" ht="15.75" thickBot="1">
      <c r="A4" s="67"/>
      <c r="B4" s="54"/>
      <c r="C4" s="54"/>
      <c r="D4" s="54"/>
      <c r="E4" s="54"/>
      <c r="F4" s="111"/>
      <c r="G4" s="111"/>
      <c r="H4" s="111"/>
      <c r="I4" s="111"/>
      <c r="J4" s="111"/>
      <c r="K4" s="111"/>
      <c r="L4" s="111"/>
      <c r="M4" s="111"/>
      <c r="N4" s="111"/>
      <c r="O4" s="112"/>
      <c r="P4" s="112"/>
      <c r="Q4" s="113"/>
    </row>
    <row r="5" spans="1:18" ht="16.5" thickTop="1" thickBot="1">
      <c r="A5" s="505" t="s">
        <v>1</v>
      </c>
      <c r="B5" s="505" t="s">
        <v>2</v>
      </c>
      <c r="C5" s="507" t="s">
        <v>3</v>
      </c>
      <c r="D5" s="507" t="s">
        <v>19</v>
      </c>
      <c r="E5" s="507" t="s">
        <v>4</v>
      </c>
      <c r="F5" s="507" t="s">
        <v>5</v>
      </c>
      <c r="G5" s="509" t="s">
        <v>17</v>
      </c>
      <c r="H5" s="510"/>
      <c r="I5" s="507" t="s">
        <v>6</v>
      </c>
      <c r="J5" s="505" t="s">
        <v>7</v>
      </c>
      <c r="K5" s="511" t="s">
        <v>8</v>
      </c>
      <c r="L5" s="511"/>
      <c r="M5" s="511"/>
      <c r="N5" s="488" t="s">
        <v>9</v>
      </c>
      <c r="O5" s="489"/>
      <c r="P5" s="489"/>
      <c r="Q5" s="490" t="s">
        <v>161</v>
      </c>
    </row>
    <row r="6" spans="1:18" ht="46.5" thickTop="1" thickBot="1">
      <c r="A6" s="506"/>
      <c r="B6" s="506"/>
      <c r="C6" s="508"/>
      <c r="D6" s="508"/>
      <c r="E6" s="508"/>
      <c r="F6" s="508"/>
      <c r="G6" s="114" t="s">
        <v>16</v>
      </c>
      <c r="H6" s="114" t="s">
        <v>18</v>
      </c>
      <c r="I6" s="508"/>
      <c r="J6" s="506"/>
      <c r="K6" s="106" t="s">
        <v>10</v>
      </c>
      <c r="L6" s="106" t="s">
        <v>24</v>
      </c>
      <c r="M6" s="106" t="s">
        <v>11</v>
      </c>
      <c r="N6" s="106" t="s">
        <v>12</v>
      </c>
      <c r="O6" s="115" t="s">
        <v>24</v>
      </c>
      <c r="P6" s="115" t="s">
        <v>13</v>
      </c>
      <c r="Q6" s="491"/>
    </row>
    <row r="7" spans="1:18" s="122" customFormat="1" ht="165.75" thickTop="1">
      <c r="A7" s="504">
        <v>1</v>
      </c>
      <c r="B7" s="501" t="s">
        <v>210</v>
      </c>
      <c r="C7" s="501" t="s">
        <v>15</v>
      </c>
      <c r="D7" s="116"/>
      <c r="E7" s="117" t="s">
        <v>211</v>
      </c>
      <c r="F7" s="118" t="s">
        <v>212</v>
      </c>
      <c r="G7" s="119">
        <v>40719</v>
      </c>
      <c r="H7" s="119">
        <v>41085</v>
      </c>
      <c r="I7" s="118">
        <v>6160</v>
      </c>
      <c r="J7" s="118" t="s">
        <v>213</v>
      </c>
      <c r="K7" s="118">
        <v>6</v>
      </c>
      <c r="L7" s="118"/>
      <c r="M7" s="118"/>
      <c r="N7" s="118">
        <v>4.2</v>
      </c>
      <c r="O7" s="118"/>
      <c r="P7" s="120"/>
      <c r="Q7" s="121" t="s">
        <v>214</v>
      </c>
    </row>
    <row r="8" spans="1:18" s="122" customFormat="1" ht="168.75" customHeight="1">
      <c r="A8" s="493"/>
      <c r="B8" s="497"/>
      <c r="C8" s="497"/>
      <c r="D8" s="116"/>
      <c r="E8" s="117" t="s">
        <v>211</v>
      </c>
      <c r="F8" s="118" t="s">
        <v>41</v>
      </c>
      <c r="G8" s="119">
        <v>41085</v>
      </c>
      <c r="H8" s="119">
        <v>41450</v>
      </c>
      <c r="I8" s="118">
        <v>6160</v>
      </c>
      <c r="J8" s="118" t="s">
        <v>213</v>
      </c>
      <c r="K8" s="118">
        <v>6</v>
      </c>
      <c r="L8" s="120"/>
      <c r="M8" s="120"/>
      <c r="N8" s="118">
        <v>4.2</v>
      </c>
      <c r="O8" s="120"/>
      <c r="P8" s="120"/>
      <c r="Q8" s="121" t="s">
        <v>215</v>
      </c>
    </row>
    <row r="9" spans="1:18" s="122" customFormat="1" ht="160.5" customHeight="1">
      <c r="A9" s="492">
        <v>2</v>
      </c>
      <c r="B9" s="496" t="s">
        <v>216</v>
      </c>
      <c r="C9" s="496" t="s">
        <v>15</v>
      </c>
      <c r="D9" s="116"/>
      <c r="E9" s="117" t="s">
        <v>217</v>
      </c>
      <c r="F9" s="118" t="s">
        <v>218</v>
      </c>
      <c r="G9" s="118" t="s">
        <v>219</v>
      </c>
      <c r="H9" s="119">
        <v>40986</v>
      </c>
      <c r="I9" s="118">
        <v>6160</v>
      </c>
      <c r="J9" s="118" t="s">
        <v>220</v>
      </c>
      <c r="K9" s="118">
        <v>3</v>
      </c>
      <c r="L9" s="118"/>
      <c r="M9" s="118"/>
      <c r="N9" s="118">
        <f>8550000/1000000</f>
        <v>8.5500000000000007</v>
      </c>
      <c r="O9" s="120"/>
      <c r="P9" s="120"/>
      <c r="Q9" s="123" t="s">
        <v>221</v>
      </c>
    </row>
    <row r="10" spans="1:18" s="122" customFormat="1" ht="160.5" customHeight="1">
      <c r="A10" s="500"/>
      <c r="B10" s="501"/>
      <c r="C10" s="501"/>
      <c r="D10" s="116"/>
      <c r="E10" s="117" t="s">
        <v>217</v>
      </c>
      <c r="F10" s="118" t="s">
        <v>41</v>
      </c>
      <c r="G10" s="119">
        <v>40986</v>
      </c>
      <c r="H10" s="119">
        <v>41716</v>
      </c>
      <c r="I10" s="118">
        <v>6160</v>
      </c>
      <c r="J10" s="118" t="s">
        <v>220</v>
      </c>
      <c r="K10" s="118">
        <v>9</v>
      </c>
      <c r="L10" s="118"/>
      <c r="M10" s="118"/>
      <c r="N10" s="118">
        <f>25650000/1000000</f>
        <v>25.65</v>
      </c>
      <c r="O10" s="120"/>
      <c r="P10" s="120"/>
      <c r="Q10" s="123" t="s">
        <v>222</v>
      </c>
    </row>
    <row r="11" spans="1:18" s="122" customFormat="1" ht="225">
      <c r="A11" s="493"/>
      <c r="B11" s="501"/>
      <c r="C11" s="501"/>
      <c r="D11" s="116"/>
      <c r="E11" s="124" t="s">
        <v>223</v>
      </c>
      <c r="F11" s="118" t="s">
        <v>224</v>
      </c>
      <c r="G11" s="119">
        <v>40255</v>
      </c>
      <c r="H11" s="119">
        <v>40986</v>
      </c>
      <c r="I11" s="118">
        <v>6160</v>
      </c>
      <c r="J11" s="118" t="s">
        <v>220</v>
      </c>
      <c r="K11" s="118">
        <v>3</v>
      </c>
      <c r="L11" s="118"/>
      <c r="M11" s="118"/>
      <c r="N11" s="118">
        <v>3.7</v>
      </c>
      <c r="O11" s="120"/>
      <c r="P11" s="120"/>
      <c r="Q11" s="123" t="s">
        <v>225</v>
      </c>
    </row>
    <row r="12" spans="1:18" s="122" customFormat="1" ht="225">
      <c r="A12" s="125"/>
      <c r="B12" s="501"/>
      <c r="C12" s="501"/>
      <c r="D12" s="116"/>
      <c r="E12" s="124" t="s">
        <v>223</v>
      </c>
      <c r="F12" s="118" t="s">
        <v>41</v>
      </c>
      <c r="G12" s="119">
        <v>40986</v>
      </c>
      <c r="H12" s="119">
        <v>41716</v>
      </c>
      <c r="I12" s="118">
        <v>6160</v>
      </c>
      <c r="J12" s="118" t="s">
        <v>220</v>
      </c>
      <c r="K12" s="118">
        <v>9</v>
      </c>
      <c r="L12" s="118"/>
      <c r="M12" s="118"/>
      <c r="N12" s="118">
        <v>50</v>
      </c>
      <c r="O12" s="120"/>
      <c r="P12" s="120"/>
      <c r="Q12" s="123" t="s">
        <v>226</v>
      </c>
    </row>
    <row r="13" spans="1:18" s="122" customFormat="1" ht="240">
      <c r="A13" s="125"/>
      <c r="B13" s="497"/>
      <c r="C13" s="497"/>
      <c r="D13" s="116"/>
      <c r="E13" s="124" t="s">
        <v>227</v>
      </c>
      <c r="F13" s="118" t="s">
        <v>41</v>
      </c>
      <c r="G13" s="119">
        <v>40969</v>
      </c>
      <c r="H13" s="119">
        <v>41334</v>
      </c>
      <c r="I13" s="118">
        <v>6210</v>
      </c>
      <c r="J13" s="118" t="s">
        <v>213</v>
      </c>
      <c r="K13" s="118">
        <v>10</v>
      </c>
      <c r="L13" s="118"/>
      <c r="M13" s="118"/>
      <c r="N13" s="118">
        <v>12.06</v>
      </c>
      <c r="O13" s="120"/>
      <c r="P13" s="120"/>
      <c r="Q13" s="123"/>
    </row>
    <row r="14" spans="1:18" s="122" customFormat="1" ht="135">
      <c r="A14" s="492">
        <v>3</v>
      </c>
      <c r="B14" s="502" t="s">
        <v>228</v>
      </c>
      <c r="C14" s="496" t="s">
        <v>15</v>
      </c>
      <c r="D14" s="116"/>
      <c r="E14" s="117" t="s">
        <v>229</v>
      </c>
      <c r="F14" s="118" t="s">
        <v>230</v>
      </c>
      <c r="G14" s="119">
        <v>40197</v>
      </c>
      <c r="H14" s="119">
        <v>41293</v>
      </c>
      <c r="I14" s="118">
        <v>6000</v>
      </c>
      <c r="J14" s="118" t="s">
        <v>231</v>
      </c>
      <c r="K14" s="118">
        <v>4</v>
      </c>
      <c r="L14" s="118"/>
      <c r="M14" s="118"/>
      <c r="N14" s="118">
        <v>25.45</v>
      </c>
      <c r="O14" s="120"/>
      <c r="P14" s="120"/>
      <c r="Q14" s="123" t="s">
        <v>232</v>
      </c>
    </row>
    <row r="15" spans="1:18" s="122" customFormat="1" ht="105">
      <c r="A15" s="493"/>
      <c r="B15" s="503"/>
      <c r="C15" s="497"/>
      <c r="D15" s="95"/>
      <c r="E15" s="117" t="s">
        <v>233</v>
      </c>
      <c r="F15" s="96" t="s">
        <v>41</v>
      </c>
      <c r="G15" s="119">
        <v>40969</v>
      </c>
      <c r="H15" s="119">
        <v>41030</v>
      </c>
      <c r="I15" s="96">
        <v>6000</v>
      </c>
      <c r="J15" s="96" t="s">
        <v>234</v>
      </c>
      <c r="K15" s="96">
        <v>1</v>
      </c>
      <c r="L15" s="96"/>
      <c r="M15" s="96"/>
      <c r="N15" s="118">
        <v>3</v>
      </c>
      <c r="O15" s="126"/>
      <c r="P15" s="126"/>
      <c r="Q15" s="127"/>
    </row>
    <row r="16" spans="1:18" s="122" customFormat="1" ht="90">
      <c r="A16" s="492">
        <v>4</v>
      </c>
      <c r="B16" s="494" t="s">
        <v>235</v>
      </c>
      <c r="C16" s="496" t="s">
        <v>15</v>
      </c>
      <c r="D16" s="498"/>
      <c r="E16" s="117" t="s">
        <v>236</v>
      </c>
      <c r="F16" s="118" t="s">
        <v>237</v>
      </c>
      <c r="G16" s="119">
        <v>40603</v>
      </c>
      <c r="H16" s="119">
        <v>40969</v>
      </c>
      <c r="I16" s="118">
        <v>6000</v>
      </c>
      <c r="J16" s="118" t="s">
        <v>220</v>
      </c>
      <c r="K16" s="118">
        <v>2</v>
      </c>
      <c r="L16" s="118"/>
      <c r="M16" s="118"/>
      <c r="N16" s="118">
        <v>10.26</v>
      </c>
      <c r="O16" s="120"/>
      <c r="P16" s="120"/>
      <c r="Q16" s="123" t="s">
        <v>238</v>
      </c>
    </row>
    <row r="17" spans="1:17" s="122" customFormat="1" ht="90">
      <c r="A17" s="493"/>
      <c r="B17" s="495"/>
      <c r="C17" s="497"/>
      <c r="D17" s="499"/>
      <c r="E17" s="117" t="s">
        <v>236</v>
      </c>
      <c r="F17" s="118" t="s">
        <v>41</v>
      </c>
      <c r="G17" s="119">
        <v>40969</v>
      </c>
      <c r="H17" s="119">
        <v>41334</v>
      </c>
      <c r="I17" s="118">
        <v>6000</v>
      </c>
      <c r="J17" s="118" t="s">
        <v>220</v>
      </c>
      <c r="K17" s="118">
        <v>10</v>
      </c>
      <c r="L17" s="118"/>
      <c r="M17" s="118"/>
      <c r="N17" s="118">
        <v>51.3</v>
      </c>
      <c r="O17" s="120"/>
      <c r="P17" s="120"/>
      <c r="Q17" s="123" t="s">
        <v>239</v>
      </c>
    </row>
    <row r="18" spans="1:17">
      <c r="A18" s="102"/>
      <c r="B18" s="95"/>
      <c r="C18" s="95"/>
      <c r="D18" s="95"/>
      <c r="E18" s="95"/>
      <c r="F18" s="96"/>
      <c r="G18" s="96"/>
      <c r="H18" s="96"/>
      <c r="I18" s="96"/>
      <c r="J18" s="96"/>
      <c r="K18" s="96"/>
      <c r="L18" s="96"/>
      <c r="M18" s="96"/>
      <c r="N18" s="128"/>
      <c r="O18" s="126"/>
      <c r="P18" s="126"/>
      <c r="Q18" s="127"/>
    </row>
    <row r="19" spans="1:17">
      <c r="A19" s="102"/>
      <c r="B19" s="95"/>
      <c r="C19" s="95"/>
      <c r="D19" s="95"/>
      <c r="E19" s="95"/>
      <c r="F19" s="96"/>
      <c r="G19" s="96"/>
      <c r="H19" s="96"/>
      <c r="I19" s="96"/>
      <c r="J19" s="96"/>
      <c r="K19" s="96"/>
      <c r="L19" s="96"/>
      <c r="M19" s="96"/>
      <c r="N19" s="96"/>
      <c r="O19" s="126"/>
      <c r="P19" s="126"/>
      <c r="Q19" s="127"/>
    </row>
    <row r="20" spans="1:17">
      <c r="A20" s="102"/>
      <c r="B20" s="95"/>
      <c r="C20" s="95"/>
      <c r="D20" s="95"/>
      <c r="E20" s="95"/>
      <c r="F20" s="96"/>
      <c r="G20" s="96"/>
      <c r="H20" s="96"/>
      <c r="I20" s="96"/>
      <c r="J20" s="96"/>
      <c r="K20" s="96"/>
      <c r="L20" s="96"/>
      <c r="M20" s="96"/>
      <c r="N20" s="96"/>
      <c r="O20" s="126"/>
      <c r="P20" s="126"/>
      <c r="Q20" s="127"/>
    </row>
    <row r="21" spans="1:17">
      <c r="A21" s="102"/>
      <c r="B21" s="95"/>
      <c r="C21" s="95"/>
      <c r="D21" s="95"/>
      <c r="E21" s="95"/>
      <c r="F21" s="96"/>
      <c r="G21" s="96"/>
      <c r="H21" s="96"/>
      <c r="I21" s="96"/>
      <c r="J21" s="96"/>
      <c r="K21" s="96"/>
      <c r="L21" s="96"/>
      <c r="M21" s="96"/>
      <c r="N21" s="96"/>
      <c r="O21" s="126"/>
      <c r="P21" s="126"/>
      <c r="Q21" s="127"/>
    </row>
    <row r="22" spans="1:17">
      <c r="A22" s="102"/>
      <c r="B22" s="95"/>
      <c r="C22" s="95"/>
      <c r="D22" s="95"/>
      <c r="E22" s="95"/>
      <c r="F22" s="96"/>
      <c r="G22" s="96"/>
      <c r="H22" s="96"/>
      <c r="I22" s="96"/>
      <c r="J22" s="96"/>
      <c r="K22" s="96"/>
      <c r="L22" s="96"/>
      <c r="M22" s="96"/>
      <c r="N22" s="96"/>
      <c r="O22" s="126"/>
      <c r="P22" s="126"/>
      <c r="Q22" s="127"/>
    </row>
    <row r="23" spans="1:17">
      <c r="A23" s="102"/>
      <c r="B23" s="95"/>
      <c r="C23" s="95"/>
      <c r="D23" s="95"/>
      <c r="E23" s="95"/>
      <c r="F23" s="96"/>
      <c r="G23" s="96"/>
      <c r="H23" s="96"/>
      <c r="I23" s="96"/>
      <c r="J23" s="96"/>
      <c r="K23" s="96"/>
      <c r="L23" s="96"/>
      <c r="M23" s="96"/>
      <c r="N23" s="96"/>
      <c r="O23" s="126"/>
      <c r="P23" s="126"/>
      <c r="Q23" s="127"/>
    </row>
    <row r="24" spans="1:17">
      <c r="A24" s="102"/>
      <c r="B24" s="95"/>
      <c r="C24" s="95"/>
      <c r="D24" s="95"/>
      <c r="E24" s="95"/>
      <c r="F24" s="96"/>
      <c r="G24" s="96"/>
      <c r="H24" s="96"/>
      <c r="I24" s="96"/>
      <c r="J24" s="96"/>
      <c r="K24" s="96"/>
      <c r="L24" s="96"/>
      <c r="M24" s="96"/>
      <c r="N24" s="96"/>
      <c r="O24" s="126"/>
      <c r="P24" s="126"/>
      <c r="Q24" s="127"/>
    </row>
    <row r="25" spans="1:17">
      <c r="A25" s="102"/>
      <c r="B25" s="95"/>
      <c r="C25" s="95"/>
      <c r="D25" s="95"/>
      <c r="E25" s="95"/>
      <c r="F25" s="96"/>
      <c r="G25" s="96"/>
      <c r="H25" s="96"/>
      <c r="I25" s="96"/>
      <c r="J25" s="96"/>
      <c r="K25" s="96"/>
      <c r="L25" s="96"/>
      <c r="M25" s="96"/>
      <c r="N25" s="96"/>
      <c r="O25" s="126"/>
      <c r="P25" s="126"/>
      <c r="Q25" s="127"/>
    </row>
    <row r="26" spans="1:17">
      <c r="A26" s="102"/>
      <c r="B26" s="95"/>
      <c r="C26" s="95"/>
      <c r="D26" s="95"/>
      <c r="E26" s="95"/>
      <c r="F26" s="96"/>
      <c r="G26" s="96"/>
      <c r="H26" s="96"/>
      <c r="I26" s="96"/>
      <c r="J26" s="96"/>
      <c r="K26" s="96"/>
      <c r="L26" s="96"/>
      <c r="M26" s="96"/>
      <c r="N26" s="96"/>
      <c r="O26" s="126"/>
      <c r="P26" s="126"/>
      <c r="Q26" s="127"/>
    </row>
    <row r="27" spans="1:17">
      <c r="A27" s="102"/>
      <c r="B27" s="95"/>
      <c r="C27" s="95"/>
      <c r="D27" s="95"/>
      <c r="E27" s="95"/>
      <c r="F27" s="96"/>
      <c r="G27" s="96"/>
      <c r="H27" s="96"/>
      <c r="I27" s="96"/>
      <c r="J27" s="96"/>
      <c r="K27" s="96"/>
      <c r="L27" s="96"/>
      <c r="M27" s="96"/>
      <c r="N27" s="96"/>
      <c r="O27" s="126"/>
      <c r="P27" s="126"/>
      <c r="Q27" s="127"/>
    </row>
    <row r="28" spans="1:17">
      <c r="A28" s="102"/>
      <c r="B28" s="95"/>
      <c r="C28" s="95"/>
      <c r="D28" s="95"/>
      <c r="E28" s="95"/>
      <c r="F28" s="96"/>
      <c r="G28" s="96"/>
      <c r="H28" s="96"/>
      <c r="I28" s="96"/>
      <c r="J28" s="96"/>
      <c r="K28" s="96"/>
      <c r="L28" s="96"/>
      <c r="M28" s="96"/>
      <c r="N28" s="96"/>
      <c r="O28" s="126"/>
      <c r="P28" s="126"/>
      <c r="Q28" s="127"/>
    </row>
    <row r="29" spans="1:17">
      <c r="A29" s="102"/>
      <c r="B29" s="95"/>
      <c r="C29" s="95"/>
      <c r="D29" s="95"/>
      <c r="E29" s="95"/>
      <c r="F29" s="96"/>
      <c r="G29" s="96"/>
      <c r="H29" s="96"/>
      <c r="I29" s="96"/>
      <c r="J29" s="96"/>
      <c r="K29" s="96"/>
      <c r="L29" s="96"/>
      <c r="M29" s="96"/>
      <c r="N29" s="96"/>
      <c r="O29" s="126"/>
      <c r="P29" s="126"/>
      <c r="Q29" s="127"/>
    </row>
    <row r="30" spans="1:17">
      <c r="A30" s="102"/>
      <c r="B30" s="95"/>
      <c r="C30" s="95"/>
      <c r="D30" s="95"/>
      <c r="E30" s="95"/>
      <c r="F30" s="96"/>
      <c r="G30" s="96"/>
      <c r="H30" s="96"/>
      <c r="I30" s="96"/>
      <c r="J30" s="96"/>
      <c r="K30" s="96"/>
      <c r="L30" s="96"/>
      <c r="M30" s="96"/>
      <c r="N30" s="96"/>
      <c r="O30" s="126"/>
      <c r="P30" s="126"/>
      <c r="Q30" s="127"/>
    </row>
    <row r="31" spans="1:17">
      <c r="A31" s="102"/>
      <c r="B31" s="95"/>
      <c r="C31" s="95"/>
      <c r="D31" s="95"/>
      <c r="E31" s="95"/>
      <c r="F31" s="96"/>
      <c r="G31" s="96"/>
      <c r="H31" s="96"/>
      <c r="I31" s="96"/>
      <c r="J31" s="96"/>
      <c r="K31" s="96"/>
      <c r="L31" s="96"/>
      <c r="M31" s="96"/>
      <c r="N31" s="96"/>
      <c r="O31" s="126"/>
      <c r="P31" s="126"/>
      <c r="Q31" s="127"/>
    </row>
    <row r="32" spans="1:17">
      <c r="A32" s="102"/>
      <c r="B32" s="95"/>
      <c r="C32" s="95"/>
      <c r="D32" s="95"/>
      <c r="E32" s="95"/>
      <c r="F32" s="96"/>
      <c r="G32" s="96"/>
      <c r="H32" s="96"/>
      <c r="I32" s="96"/>
      <c r="J32" s="96"/>
      <c r="K32" s="96"/>
      <c r="L32" s="96"/>
      <c r="M32" s="96"/>
      <c r="N32" s="96"/>
      <c r="O32" s="126"/>
      <c r="P32" s="126"/>
      <c r="Q32" s="127"/>
    </row>
    <row r="33" spans="1:17">
      <c r="A33" s="102"/>
      <c r="B33" s="95"/>
      <c r="C33" s="95"/>
      <c r="D33" s="95"/>
      <c r="E33" s="95"/>
      <c r="F33" s="96"/>
      <c r="G33" s="96"/>
      <c r="H33" s="96"/>
      <c r="I33" s="96"/>
      <c r="J33" s="96"/>
      <c r="K33" s="96"/>
      <c r="L33" s="96"/>
      <c r="M33" s="96"/>
      <c r="N33" s="96"/>
      <c r="O33" s="126"/>
      <c r="P33" s="126"/>
      <c r="Q33" s="127"/>
    </row>
    <row r="34" spans="1:17">
      <c r="A34" s="102"/>
      <c r="B34" s="95"/>
      <c r="C34" s="95"/>
      <c r="D34" s="95"/>
      <c r="E34" s="95"/>
      <c r="F34" s="96"/>
      <c r="G34" s="96"/>
      <c r="H34" s="96"/>
      <c r="I34" s="96"/>
      <c r="J34" s="96"/>
      <c r="K34" s="96"/>
      <c r="L34" s="96"/>
      <c r="M34" s="96"/>
      <c r="N34" s="96"/>
      <c r="O34" s="126"/>
      <c r="P34" s="126"/>
      <c r="Q34" s="127"/>
    </row>
    <row r="35" spans="1:17">
      <c r="A35" s="102"/>
      <c r="B35" s="95"/>
      <c r="C35" s="95"/>
      <c r="D35" s="95"/>
      <c r="E35" s="95"/>
      <c r="F35" s="96"/>
      <c r="G35" s="96"/>
      <c r="H35" s="96"/>
      <c r="I35" s="96"/>
      <c r="J35" s="96"/>
      <c r="K35" s="96"/>
      <c r="L35" s="96"/>
      <c r="M35" s="96"/>
      <c r="N35" s="96"/>
      <c r="O35" s="126"/>
      <c r="P35" s="126"/>
      <c r="Q35" s="127"/>
    </row>
    <row r="36" spans="1:17">
      <c r="A36" s="102"/>
      <c r="B36" s="95"/>
      <c r="C36" s="95"/>
      <c r="D36" s="95"/>
      <c r="E36" s="95"/>
      <c r="F36" s="96"/>
      <c r="G36" s="96"/>
      <c r="H36" s="96"/>
      <c r="I36" s="96"/>
      <c r="J36" s="96"/>
      <c r="K36" s="96"/>
      <c r="L36" s="96"/>
      <c r="M36" s="96"/>
      <c r="N36" s="96"/>
      <c r="O36" s="126"/>
      <c r="P36" s="126"/>
      <c r="Q36" s="127"/>
    </row>
    <row r="37" spans="1:17">
      <c r="A37" s="102"/>
      <c r="B37" s="95"/>
      <c r="C37" s="95"/>
      <c r="D37" s="95"/>
      <c r="E37" s="95"/>
      <c r="F37" s="96"/>
      <c r="G37" s="96"/>
      <c r="H37" s="96"/>
      <c r="I37" s="96"/>
      <c r="J37" s="96"/>
      <c r="K37" s="96"/>
      <c r="L37" s="96"/>
      <c r="M37" s="96"/>
      <c r="N37" s="96"/>
      <c r="O37" s="126"/>
      <c r="P37" s="126"/>
      <c r="Q37" s="127"/>
    </row>
    <row r="38" spans="1:17">
      <c r="A38" s="102"/>
      <c r="B38" s="95"/>
      <c r="C38" s="95"/>
      <c r="D38" s="95"/>
      <c r="E38" s="95"/>
      <c r="F38" s="96"/>
      <c r="G38" s="96"/>
      <c r="H38" s="96"/>
      <c r="I38" s="96"/>
      <c r="J38" s="96"/>
      <c r="K38" s="96"/>
      <c r="L38" s="96"/>
      <c r="M38" s="96"/>
      <c r="N38" s="96"/>
      <c r="O38" s="126"/>
      <c r="P38" s="126"/>
      <c r="Q38" s="127"/>
    </row>
    <row r="39" spans="1:17">
      <c r="A39" s="102"/>
      <c r="B39" s="95"/>
      <c r="C39" s="95"/>
      <c r="D39" s="95"/>
      <c r="E39" s="95"/>
      <c r="F39" s="96"/>
      <c r="G39" s="96"/>
      <c r="H39" s="96"/>
      <c r="I39" s="96"/>
      <c r="J39" s="96"/>
      <c r="K39" s="96"/>
      <c r="L39" s="96"/>
      <c r="M39" s="96"/>
      <c r="N39" s="96"/>
      <c r="O39" s="126"/>
      <c r="P39" s="126"/>
      <c r="Q39" s="127"/>
    </row>
    <row r="40" spans="1:17">
      <c r="A40" s="102"/>
      <c r="B40" s="95"/>
      <c r="C40" s="95"/>
      <c r="D40" s="95"/>
      <c r="E40" s="95"/>
      <c r="F40" s="96"/>
      <c r="G40" s="96"/>
      <c r="H40" s="96"/>
      <c r="I40" s="96"/>
      <c r="J40" s="96"/>
      <c r="K40" s="96"/>
      <c r="L40" s="96"/>
      <c r="M40" s="96"/>
      <c r="N40" s="96"/>
      <c r="O40" s="126"/>
      <c r="P40" s="126"/>
      <c r="Q40" s="127"/>
    </row>
    <row r="41" spans="1:17">
      <c r="A41" s="102"/>
      <c r="B41" s="95"/>
      <c r="C41" s="95"/>
      <c r="D41" s="95"/>
      <c r="E41" s="95"/>
      <c r="F41" s="96"/>
      <c r="G41" s="96"/>
      <c r="H41" s="96"/>
      <c r="I41" s="96"/>
      <c r="J41" s="96"/>
      <c r="K41" s="96"/>
      <c r="L41" s="96"/>
      <c r="M41" s="96"/>
      <c r="N41" s="96"/>
      <c r="O41" s="126"/>
      <c r="P41" s="126"/>
      <c r="Q41" s="127"/>
    </row>
    <row r="42" spans="1:17">
      <c r="A42" s="102"/>
      <c r="B42" s="95"/>
      <c r="C42" s="95"/>
      <c r="D42" s="95"/>
      <c r="E42" s="95"/>
      <c r="F42" s="96"/>
      <c r="G42" s="96"/>
      <c r="H42" s="96"/>
      <c r="I42" s="96"/>
      <c r="J42" s="96"/>
      <c r="K42" s="96"/>
      <c r="L42" s="96"/>
      <c r="M42" s="96"/>
      <c r="N42" s="96"/>
      <c r="O42" s="126"/>
      <c r="P42" s="126"/>
      <c r="Q42" s="127"/>
    </row>
    <row r="43" spans="1:17">
      <c r="A43" s="102"/>
      <c r="B43" s="95"/>
      <c r="C43" s="95"/>
      <c r="D43" s="95"/>
      <c r="E43" s="95"/>
      <c r="F43" s="96"/>
      <c r="G43" s="96"/>
      <c r="H43" s="96"/>
      <c r="I43" s="96"/>
      <c r="J43" s="96"/>
      <c r="K43" s="96"/>
      <c r="L43" s="96"/>
      <c r="M43" s="96"/>
      <c r="N43" s="96"/>
      <c r="O43" s="126"/>
      <c r="P43" s="126"/>
      <c r="Q43" s="127"/>
    </row>
    <row r="44" spans="1:17">
      <c r="A44" s="102"/>
      <c r="B44" s="95"/>
      <c r="C44" s="95"/>
      <c r="D44" s="95"/>
      <c r="E44" s="95"/>
      <c r="F44" s="96"/>
      <c r="G44" s="96"/>
      <c r="H44" s="96"/>
      <c r="I44" s="96"/>
      <c r="J44" s="96"/>
      <c r="K44" s="96"/>
      <c r="L44" s="96"/>
      <c r="M44" s="96"/>
      <c r="N44" s="96"/>
      <c r="O44" s="126"/>
      <c r="P44" s="126"/>
      <c r="Q44" s="127"/>
    </row>
    <row r="45" spans="1:17">
      <c r="A45" s="102"/>
      <c r="B45" s="95"/>
      <c r="C45" s="95"/>
      <c r="D45" s="95"/>
      <c r="E45" s="95"/>
      <c r="F45" s="96"/>
      <c r="G45" s="96"/>
      <c r="H45" s="96"/>
      <c r="I45" s="96"/>
      <c r="J45" s="96"/>
      <c r="K45" s="96"/>
      <c r="L45" s="96"/>
      <c r="M45" s="96"/>
      <c r="N45" s="96"/>
      <c r="O45" s="126"/>
      <c r="P45" s="126"/>
      <c r="Q45" s="127"/>
    </row>
    <row r="46" spans="1:17">
      <c r="A46" s="102"/>
      <c r="B46" s="95"/>
      <c r="C46" s="95"/>
      <c r="D46" s="95"/>
      <c r="E46" s="95"/>
      <c r="F46" s="96"/>
      <c r="G46" s="96"/>
      <c r="H46" s="96"/>
      <c r="I46" s="96"/>
      <c r="J46" s="96"/>
      <c r="K46" s="96"/>
      <c r="L46" s="96"/>
      <c r="M46" s="96"/>
      <c r="N46" s="96"/>
      <c r="O46" s="126"/>
      <c r="P46" s="126"/>
      <c r="Q46" s="127"/>
    </row>
    <row r="47" spans="1:17">
      <c r="A47" s="102"/>
      <c r="B47" s="95"/>
      <c r="C47" s="95"/>
      <c r="D47" s="95"/>
      <c r="E47" s="95"/>
      <c r="F47" s="96"/>
      <c r="G47" s="96"/>
      <c r="H47" s="96"/>
      <c r="I47" s="96"/>
      <c r="J47" s="96"/>
      <c r="K47" s="96"/>
      <c r="L47" s="96"/>
      <c r="M47" s="96"/>
      <c r="N47" s="96"/>
      <c r="O47" s="126"/>
      <c r="P47" s="126"/>
      <c r="Q47" s="127"/>
    </row>
    <row r="48" spans="1:17">
      <c r="A48" s="102"/>
      <c r="B48" s="95"/>
      <c r="C48" s="95"/>
      <c r="D48" s="95"/>
      <c r="E48" s="95"/>
      <c r="F48" s="96"/>
      <c r="G48" s="96"/>
      <c r="H48" s="96"/>
      <c r="I48" s="96"/>
      <c r="J48" s="96"/>
      <c r="K48" s="96"/>
      <c r="L48" s="96"/>
      <c r="M48" s="96"/>
      <c r="N48" s="96"/>
      <c r="O48" s="126"/>
      <c r="P48" s="126"/>
      <c r="Q48" s="127"/>
    </row>
    <row r="49" spans="1:17">
      <c r="A49" s="102"/>
      <c r="B49" s="95"/>
      <c r="C49" s="95"/>
      <c r="D49" s="95"/>
      <c r="E49" s="95"/>
      <c r="F49" s="96"/>
      <c r="G49" s="96"/>
      <c r="H49" s="96"/>
      <c r="I49" s="96"/>
      <c r="J49" s="96"/>
      <c r="K49" s="96"/>
      <c r="L49" s="96"/>
      <c r="M49" s="96"/>
      <c r="N49" s="96"/>
      <c r="O49" s="126"/>
      <c r="P49" s="126"/>
      <c r="Q49" s="127"/>
    </row>
    <row r="50" spans="1:17">
      <c r="A50" s="102"/>
      <c r="B50" s="95"/>
      <c r="C50" s="95"/>
      <c r="D50" s="95"/>
      <c r="E50" s="95"/>
      <c r="F50" s="96"/>
      <c r="G50" s="96"/>
      <c r="H50" s="96"/>
      <c r="I50" s="96"/>
      <c r="J50" s="96"/>
      <c r="K50" s="96"/>
      <c r="L50" s="96"/>
      <c r="M50" s="96"/>
      <c r="N50" s="96"/>
      <c r="O50" s="126"/>
      <c r="P50" s="126"/>
      <c r="Q50" s="127"/>
    </row>
    <row r="51" spans="1:17">
      <c r="A51" s="102"/>
      <c r="B51" s="95"/>
      <c r="C51" s="95"/>
      <c r="D51" s="95"/>
      <c r="E51" s="95"/>
      <c r="F51" s="96"/>
      <c r="G51" s="96"/>
      <c r="H51" s="96"/>
      <c r="I51" s="96"/>
      <c r="J51" s="96"/>
      <c r="K51" s="96"/>
      <c r="L51" s="96"/>
      <c r="M51" s="96"/>
      <c r="N51" s="96"/>
      <c r="O51" s="126"/>
      <c r="P51" s="126"/>
      <c r="Q51" s="127"/>
    </row>
    <row r="52" spans="1:17">
      <c r="A52" s="102"/>
      <c r="B52" s="95"/>
      <c r="C52" s="95"/>
      <c r="D52" s="95"/>
      <c r="E52" s="95"/>
      <c r="F52" s="96"/>
      <c r="G52" s="96"/>
      <c r="H52" s="96"/>
      <c r="I52" s="96"/>
      <c r="J52" s="96"/>
      <c r="K52" s="96"/>
      <c r="L52" s="96"/>
      <c r="M52" s="96"/>
      <c r="N52" s="96"/>
      <c r="O52" s="126"/>
      <c r="P52" s="126"/>
      <c r="Q52" s="127"/>
    </row>
    <row r="53" spans="1:17">
      <c r="A53" s="102"/>
      <c r="B53" s="95"/>
      <c r="C53" s="95"/>
      <c r="D53" s="95"/>
      <c r="E53" s="95"/>
      <c r="F53" s="96"/>
      <c r="G53" s="96"/>
      <c r="H53" s="96"/>
      <c r="I53" s="96"/>
      <c r="J53" s="96"/>
      <c r="K53" s="96"/>
      <c r="L53" s="96"/>
      <c r="M53" s="96"/>
      <c r="N53" s="96"/>
      <c r="O53" s="126"/>
      <c r="P53" s="126"/>
      <c r="Q53" s="127"/>
    </row>
    <row r="54" spans="1:17">
      <c r="A54" s="102"/>
      <c r="B54" s="95"/>
      <c r="C54" s="95"/>
      <c r="D54" s="95"/>
      <c r="E54" s="95"/>
      <c r="F54" s="96"/>
      <c r="G54" s="96"/>
      <c r="H54" s="96"/>
      <c r="I54" s="96"/>
      <c r="J54" s="96"/>
      <c r="K54" s="96"/>
      <c r="L54" s="96"/>
      <c r="M54" s="96"/>
      <c r="N54" s="96"/>
      <c r="O54" s="126"/>
      <c r="P54" s="126"/>
      <c r="Q54" s="127"/>
    </row>
    <row r="55" spans="1:17">
      <c r="A55" s="102"/>
      <c r="B55" s="95"/>
      <c r="C55" s="95"/>
      <c r="D55" s="95"/>
      <c r="E55" s="95"/>
      <c r="F55" s="96"/>
      <c r="G55" s="96"/>
      <c r="H55" s="96"/>
      <c r="I55" s="96"/>
      <c r="J55" s="96"/>
      <c r="K55" s="96"/>
      <c r="L55" s="96"/>
      <c r="M55" s="96"/>
      <c r="N55" s="96"/>
      <c r="O55" s="126"/>
      <c r="P55" s="126"/>
      <c r="Q55" s="127"/>
    </row>
    <row r="56" spans="1:17">
      <c r="A56" s="102"/>
      <c r="B56" s="95"/>
      <c r="C56" s="95"/>
      <c r="D56" s="95"/>
      <c r="E56" s="95"/>
      <c r="F56" s="96"/>
      <c r="G56" s="96"/>
      <c r="H56" s="96"/>
      <c r="I56" s="96"/>
      <c r="J56" s="96"/>
      <c r="K56" s="96"/>
      <c r="L56" s="96"/>
      <c r="M56" s="96"/>
      <c r="N56" s="96"/>
      <c r="O56" s="126"/>
      <c r="P56" s="126"/>
      <c r="Q56" s="127"/>
    </row>
    <row r="57" spans="1:17">
      <c r="A57" s="102"/>
      <c r="B57" s="95"/>
      <c r="C57" s="95"/>
      <c r="D57" s="95"/>
      <c r="E57" s="95"/>
      <c r="F57" s="96"/>
      <c r="G57" s="96"/>
      <c r="H57" s="96"/>
      <c r="I57" s="96"/>
      <c r="J57" s="96"/>
      <c r="K57" s="96"/>
      <c r="L57" s="96"/>
      <c r="M57" s="96"/>
      <c r="N57" s="96"/>
      <c r="O57" s="126"/>
      <c r="P57" s="126"/>
      <c r="Q57" s="127"/>
    </row>
    <row r="58" spans="1:17">
      <c r="A58" s="102"/>
      <c r="B58" s="95"/>
      <c r="C58" s="95"/>
      <c r="D58" s="95"/>
      <c r="E58" s="95"/>
      <c r="F58" s="96"/>
      <c r="G58" s="96"/>
      <c r="H58" s="96"/>
      <c r="I58" s="96"/>
      <c r="J58" s="96"/>
      <c r="K58" s="96"/>
      <c r="L58" s="96"/>
      <c r="M58" s="96"/>
      <c r="N58" s="96"/>
      <c r="O58" s="126"/>
      <c r="P58" s="126"/>
      <c r="Q58" s="127"/>
    </row>
    <row r="59" spans="1:17">
      <c r="A59" s="102"/>
      <c r="B59" s="95"/>
      <c r="C59" s="95"/>
      <c r="D59" s="95"/>
      <c r="E59" s="95"/>
      <c r="F59" s="96"/>
      <c r="G59" s="96"/>
      <c r="H59" s="96"/>
      <c r="I59" s="96"/>
      <c r="J59" s="96"/>
      <c r="K59" s="96"/>
      <c r="L59" s="96"/>
      <c r="M59" s="96"/>
      <c r="N59" s="96"/>
      <c r="O59" s="126"/>
      <c r="P59" s="126"/>
      <c r="Q59" s="127"/>
    </row>
    <row r="60" spans="1:17">
      <c r="A60" s="102"/>
      <c r="B60" s="95"/>
      <c r="C60" s="95"/>
      <c r="D60" s="95"/>
      <c r="E60" s="95"/>
      <c r="F60" s="96"/>
      <c r="G60" s="96"/>
      <c r="H60" s="96"/>
      <c r="I60" s="96"/>
      <c r="J60" s="96"/>
      <c r="K60" s="96"/>
      <c r="L60" s="96"/>
      <c r="M60" s="96"/>
      <c r="N60" s="96"/>
      <c r="O60" s="126"/>
      <c r="P60" s="126"/>
      <c r="Q60" s="127"/>
    </row>
    <row r="61" spans="1:17">
      <c r="A61" s="102"/>
      <c r="B61" s="95"/>
      <c r="C61" s="95"/>
      <c r="D61" s="95"/>
      <c r="E61" s="95"/>
      <c r="F61" s="96"/>
      <c r="G61" s="96"/>
      <c r="H61" s="96"/>
      <c r="I61" s="96"/>
      <c r="J61" s="96"/>
      <c r="K61" s="96"/>
      <c r="L61" s="96"/>
      <c r="M61" s="96"/>
      <c r="N61" s="96"/>
      <c r="O61" s="126"/>
      <c r="P61" s="126"/>
      <c r="Q61" s="127"/>
    </row>
    <row r="62" spans="1:17">
      <c r="A62" s="102"/>
      <c r="B62" s="95"/>
      <c r="C62" s="95"/>
      <c r="D62" s="95"/>
      <c r="E62" s="95"/>
      <c r="F62" s="96"/>
      <c r="G62" s="96"/>
      <c r="H62" s="96"/>
      <c r="I62" s="96"/>
      <c r="J62" s="96"/>
      <c r="K62" s="96"/>
      <c r="L62" s="96"/>
      <c r="M62" s="96"/>
      <c r="N62" s="96"/>
      <c r="O62" s="126"/>
      <c r="P62" s="126"/>
      <c r="Q62" s="127"/>
    </row>
    <row r="63" spans="1:17">
      <c r="A63" s="102"/>
      <c r="B63" s="95"/>
      <c r="C63" s="95"/>
      <c r="D63" s="95"/>
      <c r="E63" s="95"/>
      <c r="F63" s="96"/>
      <c r="G63" s="96"/>
      <c r="H63" s="96"/>
      <c r="I63" s="96"/>
      <c r="J63" s="96"/>
      <c r="K63" s="96"/>
      <c r="L63" s="96"/>
      <c r="M63" s="96"/>
      <c r="N63" s="96"/>
      <c r="O63" s="126"/>
      <c r="P63" s="126"/>
      <c r="Q63" s="127"/>
    </row>
    <row r="64" spans="1:17">
      <c r="A64" s="102"/>
      <c r="B64" s="95"/>
      <c r="C64" s="95"/>
      <c r="D64" s="95"/>
      <c r="E64" s="95"/>
      <c r="F64" s="96"/>
      <c r="G64" s="96"/>
      <c r="H64" s="96"/>
      <c r="I64" s="96"/>
      <c r="J64" s="96"/>
      <c r="K64" s="96"/>
      <c r="L64" s="96"/>
      <c r="M64" s="96"/>
      <c r="N64" s="96"/>
      <c r="O64" s="126"/>
      <c r="P64" s="126"/>
      <c r="Q64" s="127"/>
    </row>
    <row r="65" spans="1:17">
      <c r="A65" s="102"/>
      <c r="B65" s="95"/>
      <c r="C65" s="95"/>
      <c r="D65" s="95"/>
      <c r="E65" s="95"/>
      <c r="F65" s="96"/>
      <c r="G65" s="96"/>
      <c r="H65" s="96"/>
      <c r="I65" s="96"/>
      <c r="J65" s="96"/>
      <c r="K65" s="96"/>
      <c r="L65" s="96"/>
      <c r="M65" s="96"/>
      <c r="N65" s="96"/>
      <c r="O65" s="126"/>
      <c r="P65" s="126"/>
      <c r="Q65" s="127"/>
    </row>
    <row r="66" spans="1:17">
      <c r="A66" s="102"/>
      <c r="B66" s="95"/>
      <c r="C66" s="95"/>
      <c r="D66" s="95"/>
      <c r="E66" s="95"/>
      <c r="F66" s="96"/>
      <c r="G66" s="96"/>
      <c r="H66" s="96"/>
      <c r="I66" s="96"/>
      <c r="J66" s="96"/>
      <c r="K66" s="96"/>
      <c r="L66" s="96"/>
      <c r="M66" s="96"/>
      <c r="N66" s="96"/>
      <c r="O66" s="126"/>
      <c r="P66" s="126"/>
      <c r="Q66" s="127"/>
    </row>
    <row r="67" spans="1:17">
      <c r="A67" s="102"/>
      <c r="B67" s="95"/>
      <c r="C67" s="95"/>
      <c r="D67" s="95"/>
      <c r="E67" s="95"/>
      <c r="F67" s="96"/>
      <c r="G67" s="96"/>
      <c r="H67" s="96"/>
      <c r="I67" s="96"/>
      <c r="J67" s="96"/>
      <c r="K67" s="96"/>
      <c r="L67" s="96"/>
      <c r="M67" s="96"/>
      <c r="N67" s="96"/>
      <c r="O67" s="126"/>
      <c r="P67" s="126"/>
      <c r="Q67" s="127"/>
    </row>
    <row r="68" spans="1:17">
      <c r="A68" s="102"/>
      <c r="B68" s="95"/>
      <c r="C68" s="95"/>
      <c r="D68" s="95"/>
      <c r="E68" s="95"/>
      <c r="F68" s="96"/>
      <c r="G68" s="96"/>
      <c r="H68" s="96"/>
      <c r="I68" s="96"/>
      <c r="J68" s="96"/>
      <c r="K68" s="96"/>
      <c r="L68" s="96"/>
      <c r="M68" s="96"/>
      <c r="N68" s="96"/>
      <c r="O68" s="126"/>
      <c r="P68" s="126"/>
      <c r="Q68" s="127"/>
    </row>
    <row r="69" spans="1:17">
      <c r="A69" s="102"/>
      <c r="B69" s="95"/>
      <c r="C69" s="95"/>
      <c r="D69" s="95"/>
      <c r="E69" s="95"/>
      <c r="F69" s="96"/>
      <c r="G69" s="96"/>
      <c r="H69" s="96"/>
      <c r="I69" s="96"/>
      <c r="J69" s="96"/>
      <c r="K69" s="96"/>
      <c r="L69" s="96"/>
      <c r="M69" s="96"/>
      <c r="N69" s="96"/>
      <c r="O69" s="126"/>
      <c r="P69" s="126"/>
      <c r="Q69" s="127"/>
    </row>
    <row r="70" spans="1:17">
      <c r="A70" s="102"/>
      <c r="B70" s="95"/>
      <c r="C70" s="95"/>
      <c r="D70" s="95"/>
      <c r="E70" s="95"/>
      <c r="F70" s="96"/>
      <c r="G70" s="96"/>
      <c r="H70" s="96"/>
      <c r="I70" s="96"/>
      <c r="J70" s="96"/>
      <c r="K70" s="96"/>
      <c r="L70" s="96"/>
      <c r="M70" s="96"/>
      <c r="N70" s="96"/>
      <c r="O70" s="126"/>
      <c r="P70" s="126"/>
      <c r="Q70" s="127"/>
    </row>
    <row r="71" spans="1:17">
      <c r="A71" s="102"/>
      <c r="B71" s="95"/>
      <c r="C71" s="95"/>
      <c r="D71" s="95"/>
      <c r="E71" s="95"/>
      <c r="F71" s="96"/>
      <c r="G71" s="96"/>
      <c r="H71" s="96"/>
      <c r="I71" s="96"/>
      <c r="J71" s="96"/>
      <c r="K71" s="96"/>
      <c r="L71" s="96"/>
      <c r="M71" s="96"/>
      <c r="N71" s="96"/>
      <c r="O71" s="126"/>
      <c r="P71" s="126"/>
      <c r="Q71" s="127"/>
    </row>
    <row r="72" spans="1:17">
      <c r="A72" s="102"/>
      <c r="B72" s="95"/>
      <c r="C72" s="95"/>
      <c r="D72" s="95"/>
      <c r="E72" s="95"/>
      <c r="F72" s="96"/>
      <c r="G72" s="96"/>
      <c r="H72" s="96"/>
      <c r="I72" s="96"/>
      <c r="J72" s="96"/>
      <c r="K72" s="96"/>
      <c r="L72" s="96"/>
      <c r="M72" s="96"/>
      <c r="N72" s="96"/>
      <c r="O72" s="126"/>
      <c r="P72" s="126"/>
      <c r="Q72" s="127"/>
    </row>
    <row r="73" spans="1:17">
      <c r="A73" s="102"/>
      <c r="B73" s="95"/>
      <c r="C73" s="95"/>
      <c r="D73" s="95"/>
      <c r="E73" s="95"/>
      <c r="F73" s="96"/>
      <c r="G73" s="96"/>
      <c r="H73" s="96"/>
      <c r="I73" s="96"/>
      <c r="J73" s="96"/>
      <c r="K73" s="96"/>
      <c r="L73" s="96"/>
      <c r="M73" s="96"/>
      <c r="N73" s="96"/>
      <c r="O73" s="126"/>
      <c r="P73" s="126"/>
      <c r="Q73" s="127"/>
    </row>
    <row r="74" spans="1:17">
      <c r="A74" s="102"/>
      <c r="B74" s="95"/>
      <c r="C74" s="95"/>
      <c r="D74" s="95"/>
      <c r="E74" s="95"/>
      <c r="F74" s="96"/>
      <c r="G74" s="96"/>
      <c r="H74" s="96"/>
      <c r="I74" s="96"/>
      <c r="J74" s="96"/>
      <c r="K74" s="96"/>
      <c r="L74" s="96"/>
      <c r="M74" s="96"/>
      <c r="N74" s="96"/>
      <c r="O74" s="126"/>
      <c r="P74" s="126"/>
      <c r="Q74" s="127"/>
    </row>
    <row r="75" spans="1:17">
      <c r="A75" s="102"/>
      <c r="B75" s="95"/>
      <c r="C75" s="95"/>
      <c r="D75" s="95"/>
      <c r="E75" s="95"/>
      <c r="F75" s="96"/>
      <c r="G75" s="96"/>
      <c r="H75" s="96"/>
      <c r="I75" s="96"/>
      <c r="J75" s="96"/>
      <c r="K75" s="96"/>
      <c r="L75" s="96"/>
      <c r="M75" s="96"/>
      <c r="N75" s="96"/>
      <c r="O75" s="126"/>
      <c r="P75" s="126"/>
      <c r="Q75" s="127"/>
    </row>
    <row r="76" spans="1:17">
      <c r="A76" s="105"/>
      <c r="B76" s="103"/>
      <c r="C76" s="103"/>
      <c r="D76" s="103"/>
      <c r="E76" s="103"/>
      <c r="F76" s="129"/>
      <c r="G76" s="129"/>
      <c r="H76" s="129"/>
      <c r="I76" s="129"/>
      <c r="J76" s="129"/>
      <c r="K76" s="129"/>
      <c r="L76" s="129"/>
      <c r="M76" s="129"/>
      <c r="N76" s="129"/>
      <c r="O76" s="130"/>
      <c r="P76" s="130"/>
      <c r="Q76" s="131"/>
    </row>
  </sheetData>
  <mergeCells count="28">
    <mergeCell ref="A1:Q1"/>
    <mergeCell ref="A2:Q2"/>
    <mergeCell ref="A3:Q3"/>
    <mergeCell ref="A5:A6"/>
    <mergeCell ref="B5:B6"/>
    <mergeCell ref="C5:C6"/>
    <mergeCell ref="D5:D6"/>
    <mergeCell ref="E5:E6"/>
    <mergeCell ref="F5:F6"/>
    <mergeCell ref="G5:H5"/>
    <mergeCell ref="I5:I6"/>
    <mergeCell ref="J5:J6"/>
    <mergeCell ref="K5:M5"/>
    <mergeCell ref="N5:P5"/>
    <mergeCell ref="Q5:Q6"/>
    <mergeCell ref="A16:A17"/>
    <mergeCell ref="B16:B17"/>
    <mergeCell ref="C16:C17"/>
    <mergeCell ref="D16:D17"/>
    <mergeCell ref="A9:A11"/>
    <mergeCell ref="B9:B13"/>
    <mergeCell ref="C9:C13"/>
    <mergeCell ref="A14:A15"/>
    <mergeCell ref="B14:B15"/>
    <mergeCell ref="C14:C15"/>
    <mergeCell ref="A7:A8"/>
    <mergeCell ref="B7:B8"/>
    <mergeCell ref="C7:C8"/>
  </mergeCells>
  <dataValidations count="1">
    <dataValidation type="list" allowBlank="1" showInputMessage="1" showErrorMessage="1" sqref="D7:D76 C7:C9 C14 C16 C18:C76">
      <formula1>$R$1:$R$3</formula1>
    </dataValidation>
  </dataValidations>
  <pageMargins left="0.44" right="0.19685039370078741" top="0.47" bottom="0.66" header="0.17" footer="0.18"/>
  <pageSetup paperSize="122" scale="70" orientation="landscape" r:id="rId1"/>
  <drawing r:id="rId2"/>
  <legacyDrawing r:id="rId3"/>
</worksheet>
</file>

<file path=xl/worksheets/sheet6.xml><?xml version="1.0" encoding="utf-8"?>
<worksheet xmlns="http://schemas.openxmlformats.org/spreadsheetml/2006/main" xmlns:r="http://schemas.openxmlformats.org/officeDocument/2006/relationships">
  <dimension ref="A1:S76"/>
  <sheetViews>
    <sheetView showGridLines="0" zoomScale="90" zoomScaleNormal="90" workbookViewId="0">
      <selection activeCell="B15" sqref="B15"/>
    </sheetView>
  </sheetViews>
  <sheetFormatPr baseColWidth="10" defaultRowHeight="15"/>
  <cols>
    <col min="1" max="1" width="4.7109375" customWidth="1"/>
    <col min="2" max="2" width="28.42578125" customWidth="1"/>
    <col min="3" max="3" width="16.85546875" customWidth="1"/>
    <col min="4" max="4" width="18" customWidth="1"/>
    <col min="5" max="5" width="37.28515625" customWidth="1"/>
    <col min="6" max="6" width="19.140625" customWidth="1"/>
    <col min="7" max="7" width="16.28515625" customWidth="1"/>
    <col min="8" max="8" width="15.28515625" customWidth="1"/>
    <col min="9" max="9" width="18" customWidth="1"/>
    <col min="10" max="10" width="13.7109375" customWidth="1"/>
    <col min="11" max="11" width="14.7109375" customWidth="1"/>
    <col min="12" max="12" width="12.7109375" customWidth="1"/>
    <col min="13" max="13" width="7.7109375" customWidth="1"/>
    <col min="14" max="14" width="15.140625" customWidth="1"/>
    <col min="15" max="15" width="13.42578125" bestFit="1" customWidth="1"/>
    <col min="16" max="16" width="9.7109375" customWidth="1"/>
    <col min="17" max="17" width="32.140625" customWidth="1"/>
  </cols>
  <sheetData>
    <row r="1" spans="1:19" ht="18.75">
      <c r="A1" s="424" t="s">
        <v>0</v>
      </c>
      <c r="B1" s="425"/>
      <c r="C1" s="425"/>
      <c r="D1" s="425"/>
      <c r="E1" s="425"/>
      <c r="F1" s="425"/>
      <c r="G1" s="425"/>
      <c r="H1" s="425"/>
      <c r="I1" s="425"/>
      <c r="J1" s="425"/>
      <c r="K1" s="425"/>
      <c r="L1" s="425"/>
      <c r="M1" s="425"/>
      <c r="N1" s="425"/>
      <c r="O1" s="425"/>
      <c r="P1" s="425"/>
      <c r="Q1" s="425"/>
      <c r="R1" s="66" t="s">
        <v>14</v>
      </c>
    </row>
    <row r="2" spans="1:19" ht="18.75">
      <c r="A2" s="424" t="s">
        <v>176</v>
      </c>
      <c r="B2" s="425"/>
      <c r="C2" s="425"/>
      <c r="D2" s="425"/>
      <c r="E2" s="425"/>
      <c r="F2" s="425"/>
      <c r="G2" s="425"/>
      <c r="H2" s="425"/>
      <c r="I2" s="425"/>
      <c r="J2" s="425"/>
      <c r="K2" s="425"/>
      <c r="L2" s="425"/>
      <c r="M2" s="425"/>
      <c r="N2" s="425"/>
      <c r="O2" s="425"/>
      <c r="P2" s="425"/>
      <c r="Q2" s="425"/>
      <c r="R2" s="66" t="s">
        <v>15</v>
      </c>
    </row>
    <row r="3" spans="1:19" ht="18.75">
      <c r="A3" s="426" t="s">
        <v>25</v>
      </c>
      <c r="B3" s="425"/>
      <c r="C3" s="425"/>
      <c r="D3" s="425"/>
      <c r="E3" s="425"/>
      <c r="F3" s="425"/>
      <c r="G3" s="425"/>
      <c r="H3" s="425"/>
      <c r="I3" s="425"/>
      <c r="J3" s="425"/>
      <c r="K3" s="425"/>
      <c r="L3" s="425"/>
      <c r="M3" s="425"/>
      <c r="N3" s="425"/>
      <c r="O3" s="425"/>
      <c r="P3" s="425"/>
      <c r="Q3" s="425"/>
      <c r="R3" s="66" t="s">
        <v>160</v>
      </c>
    </row>
    <row r="4" spans="1:19" ht="15.75" thickBot="1">
      <c r="A4" s="67"/>
      <c r="B4" s="54"/>
      <c r="C4" s="54"/>
      <c r="D4" s="54"/>
      <c r="E4" s="54"/>
      <c r="F4" s="54"/>
      <c r="G4" s="54"/>
      <c r="H4" s="54"/>
      <c r="I4" s="54"/>
      <c r="J4" s="54"/>
      <c r="K4" s="54"/>
      <c r="L4" s="54"/>
      <c r="M4" s="54"/>
      <c r="N4" s="54"/>
      <c r="O4" s="54"/>
      <c r="P4" s="54"/>
      <c r="Q4" s="54"/>
    </row>
    <row r="5" spans="1:19" ht="16.5" thickTop="1" thickBot="1">
      <c r="A5" s="505" t="s">
        <v>1</v>
      </c>
      <c r="B5" s="505" t="s">
        <v>2</v>
      </c>
      <c r="C5" s="507" t="s">
        <v>3</v>
      </c>
      <c r="D5" s="507" t="s">
        <v>19</v>
      </c>
      <c r="E5" s="507" t="s">
        <v>4</v>
      </c>
      <c r="F5" s="507" t="s">
        <v>5</v>
      </c>
      <c r="G5" s="509" t="s">
        <v>17</v>
      </c>
      <c r="H5" s="510"/>
      <c r="I5" s="507" t="s">
        <v>6</v>
      </c>
      <c r="J5" s="505" t="s">
        <v>7</v>
      </c>
      <c r="K5" s="511" t="s">
        <v>8</v>
      </c>
      <c r="L5" s="511"/>
      <c r="M5" s="511"/>
      <c r="N5" s="511" t="s">
        <v>9</v>
      </c>
      <c r="O5" s="514"/>
      <c r="P5" s="514"/>
      <c r="Q5" s="515" t="s">
        <v>161</v>
      </c>
    </row>
    <row r="6" spans="1:19" ht="45.75" thickTop="1">
      <c r="A6" s="512"/>
      <c r="B6" s="512"/>
      <c r="C6" s="513"/>
      <c r="D6" s="513"/>
      <c r="E6" s="513"/>
      <c r="F6" s="513"/>
      <c r="G6" s="68" t="s">
        <v>16</v>
      </c>
      <c r="H6" s="68" t="s">
        <v>18</v>
      </c>
      <c r="I6" s="513"/>
      <c r="J6" s="512"/>
      <c r="K6" s="69" t="s">
        <v>10</v>
      </c>
      <c r="L6" s="69" t="s">
        <v>177</v>
      </c>
      <c r="M6" s="69" t="s">
        <v>11</v>
      </c>
      <c r="N6" s="69" t="s">
        <v>12</v>
      </c>
      <c r="O6" s="69" t="s">
        <v>177</v>
      </c>
      <c r="P6" s="69" t="s">
        <v>13</v>
      </c>
      <c r="Q6" s="516"/>
    </row>
    <row r="7" spans="1:19" ht="30">
      <c r="A7" s="70">
        <v>1</v>
      </c>
      <c r="B7" s="71" t="s">
        <v>178</v>
      </c>
      <c r="C7" s="72" t="s">
        <v>14</v>
      </c>
      <c r="D7" s="73">
        <v>190</v>
      </c>
      <c r="E7" s="71" t="s">
        <v>179</v>
      </c>
      <c r="F7" s="74" t="s">
        <v>180</v>
      </c>
      <c r="G7" s="75" t="s">
        <v>181</v>
      </c>
      <c r="H7" s="76" t="s">
        <v>182</v>
      </c>
      <c r="I7" s="72">
        <v>930</v>
      </c>
      <c r="J7" s="76" t="s">
        <v>183</v>
      </c>
      <c r="K7" s="77" t="s">
        <v>184</v>
      </c>
      <c r="L7" s="77"/>
      <c r="M7" s="78"/>
      <c r="N7" s="79">
        <v>190</v>
      </c>
      <c r="O7" s="73"/>
      <c r="P7" s="80"/>
      <c r="Q7" s="81"/>
      <c r="S7" s="82"/>
    </row>
    <row r="8" spans="1:19" ht="45">
      <c r="A8" s="70">
        <v>2</v>
      </c>
      <c r="B8" s="71" t="s">
        <v>185</v>
      </c>
      <c r="C8" s="72" t="s">
        <v>15</v>
      </c>
      <c r="D8" s="83">
        <v>2478</v>
      </c>
      <c r="E8" s="71" t="s">
        <v>186</v>
      </c>
      <c r="F8" s="76" t="s">
        <v>187</v>
      </c>
      <c r="G8" s="84" t="s">
        <v>188</v>
      </c>
      <c r="H8" s="85" t="s">
        <v>189</v>
      </c>
      <c r="I8" s="86">
        <v>930</v>
      </c>
      <c r="J8" s="76" t="s">
        <v>190</v>
      </c>
      <c r="K8" s="77" t="s">
        <v>191</v>
      </c>
      <c r="L8" s="87"/>
      <c r="M8" s="87"/>
      <c r="N8" s="73">
        <v>1000</v>
      </c>
      <c r="O8" s="87"/>
      <c r="P8" s="88"/>
      <c r="Q8" s="81"/>
    </row>
    <row r="9" spans="1:19">
      <c r="A9" s="89"/>
      <c r="B9" s="90"/>
      <c r="C9" s="72"/>
      <c r="D9" s="73"/>
      <c r="E9" s="76"/>
      <c r="F9" s="74"/>
      <c r="G9" s="91"/>
      <c r="H9" s="91"/>
      <c r="I9" s="72"/>
      <c r="J9" s="76"/>
      <c r="K9" s="92"/>
      <c r="L9" s="93"/>
      <c r="M9" s="93"/>
      <c r="N9" s="73"/>
      <c r="O9" s="93"/>
      <c r="P9" s="93"/>
      <c r="Q9" s="94"/>
    </row>
    <row r="10" spans="1:19">
      <c r="A10" s="70"/>
      <c r="B10" s="95"/>
      <c r="C10" s="96"/>
      <c r="D10" s="73"/>
      <c r="F10" s="95"/>
      <c r="G10" s="95"/>
      <c r="H10" s="95"/>
      <c r="I10" s="95"/>
      <c r="J10" s="95"/>
      <c r="K10" s="95"/>
      <c r="L10" s="95"/>
      <c r="M10" s="95"/>
      <c r="N10" s="95"/>
      <c r="O10" s="95"/>
      <c r="P10" s="95"/>
      <c r="Q10" s="97"/>
    </row>
    <row r="11" spans="1:19">
      <c r="A11" s="98"/>
      <c r="B11" s="99"/>
      <c r="C11" s="95"/>
      <c r="D11" s="95"/>
      <c r="E11" s="95"/>
      <c r="F11" s="95"/>
      <c r="G11" s="95"/>
      <c r="H11" s="95"/>
      <c r="I11" s="95"/>
      <c r="J11" s="95"/>
      <c r="K11" s="95"/>
      <c r="L11" s="95"/>
      <c r="M11" s="95"/>
      <c r="N11" s="95"/>
      <c r="O11" s="95"/>
      <c r="P11" s="95"/>
      <c r="Q11" s="97"/>
    </row>
    <row r="12" spans="1:19">
      <c r="A12" s="100"/>
      <c r="B12" s="101"/>
      <c r="C12" s="95"/>
      <c r="D12" s="95"/>
      <c r="E12" s="95"/>
      <c r="F12" s="95"/>
      <c r="G12" s="95"/>
      <c r="H12" s="95"/>
      <c r="I12" s="95"/>
      <c r="J12" s="95"/>
      <c r="K12" s="95"/>
      <c r="L12" s="95"/>
      <c r="M12" s="95"/>
      <c r="N12" s="95"/>
      <c r="O12" s="95"/>
      <c r="P12" s="95"/>
      <c r="Q12" s="97"/>
    </row>
    <row r="13" spans="1:19">
      <c r="A13" s="102"/>
      <c r="B13" s="95"/>
      <c r="C13" s="95"/>
      <c r="D13" s="95"/>
      <c r="E13" s="95"/>
      <c r="F13" s="95"/>
      <c r="G13" s="95"/>
      <c r="H13" s="95"/>
      <c r="I13" s="95"/>
      <c r="J13" s="95"/>
      <c r="K13" s="95"/>
      <c r="L13" s="95"/>
      <c r="M13" s="95"/>
      <c r="N13" s="95"/>
      <c r="O13" s="95"/>
      <c r="P13" s="95"/>
      <c r="Q13" s="97"/>
    </row>
    <row r="14" spans="1:19">
      <c r="A14" s="102"/>
      <c r="B14" s="95"/>
      <c r="C14" s="95"/>
      <c r="D14" s="95"/>
      <c r="E14" s="95"/>
      <c r="F14" s="95"/>
      <c r="G14" s="95"/>
      <c r="H14" s="95"/>
      <c r="I14" s="95"/>
      <c r="J14" s="95"/>
      <c r="K14" s="95"/>
      <c r="L14" s="95"/>
      <c r="M14" s="95"/>
      <c r="N14" s="95"/>
      <c r="O14" s="95"/>
      <c r="P14" s="95"/>
      <c r="Q14" s="97"/>
    </row>
    <row r="15" spans="1:19">
      <c r="A15" s="102"/>
      <c r="B15" s="95"/>
      <c r="C15" s="95"/>
      <c r="D15" s="95"/>
      <c r="E15" s="95"/>
      <c r="F15" s="95"/>
      <c r="G15" s="95"/>
      <c r="H15" s="95"/>
      <c r="I15" s="95"/>
      <c r="J15" s="95"/>
      <c r="K15" s="95"/>
      <c r="L15" s="95"/>
      <c r="M15" s="95"/>
      <c r="N15" s="95"/>
      <c r="O15" s="95"/>
      <c r="P15" s="95"/>
      <c r="Q15" s="97"/>
    </row>
    <row r="16" spans="1:19">
      <c r="A16" s="102"/>
      <c r="B16" s="95"/>
      <c r="C16" s="95"/>
      <c r="D16" s="95"/>
      <c r="E16" s="95"/>
      <c r="F16" s="95"/>
      <c r="G16" s="95"/>
      <c r="H16" s="95"/>
      <c r="I16" s="95"/>
      <c r="J16" s="95"/>
      <c r="K16" s="95"/>
      <c r="L16" s="95"/>
      <c r="M16" s="95"/>
      <c r="N16" s="95"/>
      <c r="O16" s="95"/>
      <c r="P16" s="95"/>
      <c r="Q16" s="97"/>
    </row>
    <row r="17" spans="1:17">
      <c r="A17" s="102"/>
      <c r="B17" s="95"/>
      <c r="C17" s="95"/>
      <c r="D17" s="95"/>
      <c r="E17" s="95"/>
      <c r="F17" s="95"/>
      <c r="G17" s="95"/>
      <c r="H17" s="95"/>
      <c r="I17" s="95"/>
      <c r="J17" s="95"/>
      <c r="K17" s="95"/>
      <c r="L17" s="95"/>
      <c r="M17" s="95"/>
      <c r="N17" s="95"/>
      <c r="O17" s="95"/>
      <c r="P17" s="95"/>
      <c r="Q17" s="97"/>
    </row>
    <row r="18" spans="1:17">
      <c r="A18" s="102"/>
      <c r="B18" s="95"/>
      <c r="C18" s="95"/>
      <c r="D18" s="95"/>
      <c r="E18" s="95"/>
      <c r="F18" s="95"/>
      <c r="G18" s="95"/>
      <c r="H18" s="95"/>
      <c r="I18" s="95"/>
      <c r="J18" s="95"/>
      <c r="K18" s="95"/>
      <c r="L18" s="95"/>
      <c r="M18" s="95"/>
      <c r="N18" s="95"/>
      <c r="O18" s="95"/>
      <c r="P18" s="95"/>
      <c r="Q18" s="97"/>
    </row>
    <row r="19" spans="1:17">
      <c r="A19" s="102"/>
      <c r="B19" s="95"/>
      <c r="C19" s="95"/>
      <c r="D19" s="95"/>
      <c r="E19" s="95"/>
      <c r="F19" s="95"/>
      <c r="G19" s="95"/>
      <c r="H19" s="95"/>
      <c r="I19" s="95"/>
      <c r="J19" s="95"/>
      <c r="K19" s="95"/>
      <c r="L19" s="95"/>
      <c r="M19" s="95"/>
      <c r="N19" s="95"/>
      <c r="O19" s="95"/>
      <c r="P19" s="95"/>
      <c r="Q19" s="97"/>
    </row>
    <row r="20" spans="1:17">
      <c r="A20" s="102"/>
      <c r="B20" s="95"/>
      <c r="C20" s="95"/>
      <c r="D20" s="95"/>
      <c r="E20" s="95"/>
      <c r="F20" s="95"/>
      <c r="G20" s="95"/>
      <c r="H20" s="95"/>
      <c r="I20" s="95"/>
      <c r="J20" s="95"/>
      <c r="K20" s="95"/>
      <c r="L20" s="95"/>
      <c r="M20" s="95"/>
      <c r="N20" s="95"/>
      <c r="O20" s="95"/>
      <c r="P20" s="95"/>
      <c r="Q20" s="97"/>
    </row>
    <row r="21" spans="1:17">
      <c r="A21" s="102"/>
      <c r="B21" s="95"/>
      <c r="C21" s="95"/>
      <c r="D21" s="95"/>
      <c r="E21" s="95"/>
      <c r="F21" s="95"/>
      <c r="G21" s="95"/>
      <c r="H21" s="95"/>
      <c r="I21" s="95"/>
      <c r="J21" s="95"/>
      <c r="K21" s="95"/>
      <c r="L21" s="95"/>
      <c r="M21" s="95"/>
      <c r="N21" s="95"/>
      <c r="O21" s="95"/>
      <c r="P21" s="95"/>
      <c r="Q21" s="97"/>
    </row>
    <row r="22" spans="1:17">
      <c r="A22" s="102"/>
      <c r="B22" s="95"/>
      <c r="C22" s="95"/>
      <c r="D22" s="95"/>
      <c r="E22" s="95"/>
      <c r="F22" s="95"/>
      <c r="G22" s="95"/>
      <c r="H22" s="95"/>
      <c r="I22" s="95"/>
      <c r="J22" s="95"/>
      <c r="K22" s="95"/>
      <c r="L22" s="95"/>
      <c r="M22" s="95"/>
      <c r="N22" s="95"/>
      <c r="O22" s="95"/>
      <c r="P22" s="95"/>
      <c r="Q22" s="97"/>
    </row>
    <row r="23" spans="1:17">
      <c r="A23" s="102"/>
      <c r="B23" s="95"/>
      <c r="C23" s="95"/>
      <c r="D23" s="95"/>
      <c r="E23" s="95"/>
      <c r="F23" s="95"/>
      <c r="G23" s="95"/>
      <c r="H23" s="95"/>
      <c r="I23" s="95"/>
      <c r="J23" s="95"/>
      <c r="K23" s="95"/>
      <c r="L23" s="95"/>
      <c r="M23" s="95"/>
      <c r="N23" s="95"/>
      <c r="O23" s="95"/>
      <c r="P23" s="95"/>
      <c r="Q23" s="97"/>
    </row>
    <row r="24" spans="1:17">
      <c r="A24" s="102"/>
      <c r="B24" s="95"/>
      <c r="C24" s="95"/>
      <c r="D24" s="95"/>
      <c r="E24" s="95"/>
      <c r="F24" s="95"/>
      <c r="G24" s="95"/>
      <c r="H24" s="95"/>
      <c r="I24" s="95"/>
      <c r="J24" s="95"/>
      <c r="K24" s="95"/>
      <c r="L24" s="95"/>
      <c r="M24" s="95"/>
      <c r="N24" s="95"/>
      <c r="O24" s="95"/>
      <c r="P24" s="95"/>
      <c r="Q24" s="97"/>
    </row>
    <row r="25" spans="1:17">
      <c r="A25" s="102"/>
      <c r="B25" s="95"/>
      <c r="C25" s="95"/>
      <c r="D25" s="95"/>
      <c r="E25" s="95"/>
      <c r="F25" s="95"/>
      <c r="G25" s="95"/>
      <c r="H25" s="95"/>
      <c r="I25" s="95"/>
      <c r="J25" s="95"/>
      <c r="K25" s="95"/>
      <c r="L25" s="95"/>
      <c r="M25" s="95"/>
      <c r="N25" s="95"/>
      <c r="O25" s="95"/>
      <c r="P25" s="95"/>
      <c r="Q25" s="97"/>
    </row>
    <row r="26" spans="1:17">
      <c r="A26" s="102"/>
      <c r="B26" s="95"/>
      <c r="C26" s="95"/>
      <c r="D26" s="95"/>
      <c r="E26" s="95"/>
      <c r="F26" s="95"/>
      <c r="G26" s="95"/>
      <c r="H26" s="95"/>
      <c r="I26" s="95"/>
      <c r="J26" s="95"/>
      <c r="K26" s="95"/>
      <c r="L26" s="95"/>
      <c r="M26" s="95"/>
      <c r="N26" s="95"/>
      <c r="O26" s="95"/>
      <c r="P26" s="95"/>
      <c r="Q26" s="97"/>
    </row>
    <row r="27" spans="1:17">
      <c r="A27" s="102"/>
      <c r="B27" s="95"/>
      <c r="C27" s="95"/>
      <c r="D27" s="95"/>
      <c r="E27" s="95"/>
      <c r="F27" s="95"/>
      <c r="G27" s="95"/>
      <c r="H27" s="95"/>
      <c r="I27" s="95"/>
      <c r="J27" s="95"/>
      <c r="K27" s="95"/>
      <c r="L27" s="95"/>
      <c r="M27" s="95"/>
      <c r="N27" s="95"/>
      <c r="O27" s="95"/>
      <c r="P27" s="95"/>
      <c r="Q27" s="97"/>
    </row>
    <row r="28" spans="1:17">
      <c r="A28" s="102"/>
      <c r="B28" s="95"/>
      <c r="C28" s="95"/>
      <c r="D28" s="95"/>
      <c r="E28" s="95"/>
      <c r="F28" s="95"/>
      <c r="G28" s="95"/>
      <c r="H28" s="95"/>
      <c r="I28" s="95"/>
      <c r="J28" s="95"/>
      <c r="K28" s="95"/>
      <c r="L28" s="95"/>
      <c r="M28" s="95"/>
      <c r="N28" s="95"/>
      <c r="O28" s="95"/>
      <c r="P28" s="95"/>
      <c r="Q28" s="97"/>
    </row>
    <row r="29" spans="1:17">
      <c r="A29" s="102"/>
      <c r="B29" s="95"/>
      <c r="C29" s="95"/>
      <c r="D29" s="95"/>
      <c r="E29" s="95"/>
      <c r="F29" s="95"/>
      <c r="G29" s="95"/>
      <c r="H29" s="95"/>
      <c r="I29" s="95"/>
      <c r="J29" s="95"/>
      <c r="K29" s="95"/>
      <c r="L29" s="95"/>
      <c r="M29" s="95"/>
      <c r="N29" s="95"/>
      <c r="O29" s="95"/>
      <c r="P29" s="95"/>
      <c r="Q29" s="97"/>
    </row>
    <row r="30" spans="1:17">
      <c r="A30" s="102"/>
      <c r="B30" s="95"/>
      <c r="C30" s="95"/>
      <c r="D30" s="95"/>
      <c r="E30" s="95"/>
      <c r="F30" s="95"/>
      <c r="G30" s="95"/>
      <c r="H30" s="95"/>
      <c r="I30" s="95"/>
      <c r="J30" s="95"/>
      <c r="K30" s="95"/>
      <c r="L30" s="95"/>
      <c r="M30" s="95"/>
      <c r="N30" s="95"/>
      <c r="O30" s="95"/>
      <c r="P30" s="95"/>
      <c r="Q30" s="97"/>
    </row>
    <row r="31" spans="1:17">
      <c r="A31" s="102"/>
      <c r="B31" s="95"/>
      <c r="C31" s="95"/>
      <c r="D31" s="95"/>
      <c r="E31" s="95"/>
      <c r="F31" s="95"/>
      <c r="G31" s="95"/>
      <c r="H31" s="95"/>
      <c r="I31" s="95"/>
      <c r="J31" s="95"/>
      <c r="K31" s="95"/>
      <c r="L31" s="95"/>
      <c r="M31" s="95"/>
      <c r="N31" s="95"/>
      <c r="O31" s="95"/>
      <c r="P31" s="95"/>
      <c r="Q31" s="97"/>
    </row>
    <row r="32" spans="1:17">
      <c r="A32" s="102"/>
      <c r="B32" s="95"/>
      <c r="C32" s="95"/>
      <c r="D32" s="95"/>
      <c r="E32" s="95"/>
      <c r="F32" s="95"/>
      <c r="G32" s="95"/>
      <c r="H32" s="95"/>
      <c r="I32" s="95"/>
      <c r="J32" s="95"/>
      <c r="K32" s="95"/>
      <c r="L32" s="95"/>
      <c r="M32" s="95"/>
      <c r="N32" s="95"/>
      <c r="O32" s="95"/>
      <c r="P32" s="95"/>
      <c r="Q32" s="97"/>
    </row>
    <row r="33" spans="1:17">
      <c r="A33" s="102"/>
      <c r="B33" s="95"/>
      <c r="C33" s="95"/>
      <c r="D33" s="95"/>
      <c r="E33" s="95"/>
      <c r="F33" s="95"/>
      <c r="G33" s="95"/>
      <c r="H33" s="95"/>
      <c r="I33" s="95"/>
      <c r="J33" s="95"/>
      <c r="K33" s="95"/>
      <c r="L33" s="95"/>
      <c r="M33" s="95"/>
      <c r="N33" s="95"/>
      <c r="O33" s="95"/>
      <c r="P33" s="95"/>
      <c r="Q33" s="97"/>
    </row>
    <row r="34" spans="1:17">
      <c r="A34" s="102"/>
      <c r="B34" s="95"/>
      <c r="C34" s="95"/>
      <c r="D34" s="95"/>
      <c r="E34" s="95"/>
      <c r="F34" s="95"/>
      <c r="G34" s="95"/>
      <c r="H34" s="95"/>
      <c r="I34" s="95"/>
      <c r="J34" s="95"/>
      <c r="K34" s="95"/>
      <c r="L34" s="95"/>
      <c r="M34" s="95"/>
      <c r="N34" s="95"/>
      <c r="O34" s="95"/>
      <c r="P34" s="95"/>
      <c r="Q34" s="97"/>
    </row>
    <row r="35" spans="1:17">
      <c r="A35" s="102"/>
      <c r="B35" s="95"/>
      <c r="C35" s="95"/>
      <c r="D35" s="95"/>
      <c r="E35" s="95"/>
      <c r="F35" s="95"/>
      <c r="G35" s="95"/>
      <c r="H35" s="95"/>
      <c r="I35" s="95"/>
      <c r="J35" s="95"/>
      <c r="K35" s="95"/>
      <c r="L35" s="95"/>
      <c r="M35" s="95"/>
      <c r="N35" s="95"/>
      <c r="O35" s="95"/>
      <c r="P35" s="95"/>
      <c r="Q35" s="97"/>
    </row>
    <row r="36" spans="1:17">
      <c r="A36" s="102"/>
      <c r="B36" s="95"/>
      <c r="C36" s="95"/>
      <c r="D36" s="95"/>
      <c r="E36" s="95"/>
      <c r="F36" s="95"/>
      <c r="G36" s="95"/>
      <c r="H36" s="95"/>
      <c r="I36" s="95"/>
      <c r="J36" s="95"/>
      <c r="K36" s="95"/>
      <c r="L36" s="95"/>
      <c r="M36" s="95"/>
      <c r="N36" s="95"/>
      <c r="O36" s="95"/>
      <c r="P36" s="95"/>
      <c r="Q36" s="97"/>
    </row>
    <row r="37" spans="1:17">
      <c r="A37" s="102"/>
      <c r="B37" s="95"/>
      <c r="C37" s="95"/>
      <c r="D37" s="95"/>
      <c r="E37" s="95"/>
      <c r="F37" s="95"/>
      <c r="G37" s="95"/>
      <c r="H37" s="95"/>
      <c r="I37" s="95"/>
      <c r="J37" s="95"/>
      <c r="K37" s="95"/>
      <c r="L37" s="95"/>
      <c r="M37" s="95"/>
      <c r="N37" s="95"/>
      <c r="O37" s="95"/>
      <c r="P37" s="95"/>
      <c r="Q37" s="97"/>
    </row>
    <row r="38" spans="1:17">
      <c r="A38" s="102"/>
      <c r="B38" s="95"/>
      <c r="C38" s="95"/>
      <c r="D38" s="95"/>
      <c r="E38" s="95"/>
      <c r="F38" s="95"/>
      <c r="G38" s="95"/>
      <c r="H38" s="95"/>
      <c r="I38" s="95"/>
      <c r="J38" s="95"/>
      <c r="K38" s="95"/>
      <c r="L38" s="95"/>
      <c r="M38" s="95"/>
      <c r="N38" s="95"/>
      <c r="O38" s="95"/>
      <c r="P38" s="95"/>
      <c r="Q38" s="97"/>
    </row>
    <row r="39" spans="1:17">
      <c r="A39" s="102"/>
      <c r="B39" s="95"/>
      <c r="C39" s="95"/>
      <c r="D39" s="95"/>
      <c r="E39" s="95"/>
      <c r="F39" s="95"/>
      <c r="G39" s="95"/>
      <c r="H39" s="95"/>
      <c r="I39" s="95"/>
      <c r="J39" s="95"/>
      <c r="K39" s="95"/>
      <c r="L39" s="95"/>
      <c r="M39" s="95"/>
      <c r="N39" s="95"/>
      <c r="O39" s="95"/>
      <c r="P39" s="95"/>
      <c r="Q39" s="97"/>
    </row>
    <row r="40" spans="1:17">
      <c r="A40" s="102"/>
      <c r="B40" s="95"/>
      <c r="C40" s="95"/>
      <c r="D40" s="95"/>
      <c r="E40" s="95"/>
      <c r="F40" s="95"/>
      <c r="G40" s="95"/>
      <c r="H40" s="95"/>
      <c r="I40" s="95"/>
      <c r="J40" s="95"/>
      <c r="K40" s="95"/>
      <c r="L40" s="95"/>
      <c r="M40" s="95"/>
      <c r="N40" s="95"/>
      <c r="O40" s="95"/>
      <c r="P40" s="95"/>
      <c r="Q40" s="97"/>
    </row>
    <row r="41" spans="1:17">
      <c r="A41" s="102"/>
      <c r="B41" s="95"/>
      <c r="C41" s="95"/>
      <c r="D41" s="95"/>
      <c r="E41" s="95"/>
      <c r="F41" s="95"/>
      <c r="G41" s="95"/>
      <c r="H41" s="95"/>
      <c r="I41" s="95"/>
      <c r="J41" s="95"/>
      <c r="K41" s="95"/>
      <c r="L41" s="95"/>
      <c r="M41" s="95"/>
      <c r="N41" s="95"/>
      <c r="O41" s="95"/>
      <c r="P41" s="95"/>
      <c r="Q41" s="97"/>
    </row>
    <row r="42" spans="1:17">
      <c r="A42" s="102"/>
      <c r="B42" s="95"/>
      <c r="C42" s="95"/>
      <c r="D42" s="95"/>
      <c r="E42" s="95"/>
      <c r="F42" s="95"/>
      <c r="G42" s="95"/>
      <c r="H42" s="95"/>
      <c r="I42" s="95"/>
      <c r="J42" s="95"/>
      <c r="K42" s="95"/>
      <c r="L42" s="95"/>
      <c r="M42" s="95"/>
      <c r="N42" s="95"/>
      <c r="O42" s="95"/>
      <c r="P42" s="95"/>
      <c r="Q42" s="97"/>
    </row>
    <row r="43" spans="1:17">
      <c r="A43" s="102"/>
      <c r="B43" s="95"/>
      <c r="C43" s="95"/>
      <c r="D43" s="95"/>
      <c r="E43" s="95"/>
      <c r="F43" s="95"/>
      <c r="G43" s="95"/>
      <c r="H43" s="95"/>
      <c r="I43" s="95"/>
      <c r="J43" s="95"/>
      <c r="K43" s="95"/>
      <c r="L43" s="95"/>
      <c r="M43" s="95"/>
      <c r="N43" s="95"/>
      <c r="O43" s="95"/>
      <c r="P43" s="95"/>
      <c r="Q43" s="97"/>
    </row>
    <row r="44" spans="1:17">
      <c r="A44" s="102"/>
      <c r="B44" s="95"/>
      <c r="C44" s="95"/>
      <c r="D44" s="95"/>
      <c r="E44" s="95"/>
      <c r="F44" s="95"/>
      <c r="G44" s="95"/>
      <c r="H44" s="95"/>
      <c r="I44" s="95"/>
      <c r="J44" s="95"/>
      <c r="K44" s="95"/>
      <c r="L44" s="95"/>
      <c r="M44" s="95"/>
      <c r="N44" s="95"/>
      <c r="O44" s="95"/>
      <c r="P44" s="95"/>
      <c r="Q44" s="97"/>
    </row>
    <row r="45" spans="1:17">
      <c r="A45" s="102"/>
      <c r="B45" s="95"/>
      <c r="C45" s="95"/>
      <c r="D45" s="95"/>
      <c r="E45" s="95"/>
      <c r="F45" s="95"/>
      <c r="G45" s="95"/>
      <c r="H45" s="95"/>
      <c r="I45" s="95"/>
      <c r="J45" s="95"/>
      <c r="K45" s="95"/>
      <c r="L45" s="95"/>
      <c r="M45" s="95"/>
      <c r="N45" s="95"/>
      <c r="O45" s="95"/>
      <c r="P45" s="95"/>
      <c r="Q45" s="97"/>
    </row>
    <row r="46" spans="1:17">
      <c r="A46" s="102"/>
      <c r="B46" s="95"/>
      <c r="C46" s="95"/>
      <c r="D46" s="95"/>
      <c r="E46" s="95"/>
      <c r="F46" s="95"/>
      <c r="G46" s="95"/>
      <c r="H46" s="95"/>
      <c r="I46" s="95"/>
      <c r="J46" s="95"/>
      <c r="K46" s="95"/>
      <c r="L46" s="95"/>
      <c r="M46" s="95"/>
      <c r="N46" s="95"/>
      <c r="O46" s="95"/>
      <c r="P46" s="95"/>
      <c r="Q46" s="97"/>
    </row>
    <row r="47" spans="1:17">
      <c r="A47" s="102"/>
      <c r="B47" s="95"/>
      <c r="C47" s="95"/>
      <c r="D47" s="95"/>
      <c r="E47" s="95"/>
      <c r="F47" s="95"/>
      <c r="G47" s="95"/>
      <c r="H47" s="95"/>
      <c r="I47" s="95"/>
      <c r="J47" s="95"/>
      <c r="K47" s="95"/>
      <c r="L47" s="95"/>
      <c r="M47" s="95"/>
      <c r="N47" s="95"/>
      <c r="O47" s="95"/>
      <c r="P47" s="95"/>
      <c r="Q47" s="97"/>
    </row>
    <row r="48" spans="1:17">
      <c r="A48" s="102"/>
      <c r="B48" s="95"/>
      <c r="C48" s="95"/>
      <c r="D48" s="95"/>
      <c r="E48" s="95"/>
      <c r="F48" s="95"/>
      <c r="G48" s="95"/>
      <c r="H48" s="95"/>
      <c r="I48" s="95"/>
      <c r="J48" s="95"/>
      <c r="K48" s="95"/>
      <c r="L48" s="95"/>
      <c r="M48" s="95"/>
      <c r="N48" s="95"/>
      <c r="O48" s="95"/>
      <c r="P48" s="95"/>
      <c r="Q48" s="97"/>
    </row>
    <row r="49" spans="1:17">
      <c r="A49" s="102"/>
      <c r="B49" s="95"/>
      <c r="C49" s="95"/>
      <c r="D49" s="95"/>
      <c r="E49" s="95"/>
      <c r="F49" s="95"/>
      <c r="G49" s="95"/>
      <c r="H49" s="95"/>
      <c r="I49" s="95"/>
      <c r="J49" s="95"/>
      <c r="K49" s="95"/>
      <c r="L49" s="95"/>
      <c r="M49" s="95"/>
      <c r="N49" s="95"/>
      <c r="O49" s="95"/>
      <c r="P49" s="95"/>
      <c r="Q49" s="97"/>
    </row>
    <row r="50" spans="1:17">
      <c r="A50" s="102"/>
      <c r="B50" s="95"/>
      <c r="C50" s="95"/>
      <c r="D50" s="95"/>
      <c r="E50" s="95"/>
      <c r="F50" s="95"/>
      <c r="G50" s="95"/>
      <c r="H50" s="95"/>
      <c r="I50" s="95"/>
      <c r="J50" s="95"/>
      <c r="K50" s="95"/>
      <c r="L50" s="95"/>
      <c r="M50" s="95"/>
      <c r="N50" s="95"/>
      <c r="O50" s="95"/>
      <c r="P50" s="95"/>
      <c r="Q50" s="97"/>
    </row>
    <row r="51" spans="1:17">
      <c r="A51" s="102"/>
      <c r="B51" s="95"/>
      <c r="C51" s="95"/>
      <c r="D51" s="95"/>
      <c r="E51" s="95"/>
      <c r="F51" s="95"/>
      <c r="G51" s="95"/>
      <c r="H51" s="95"/>
      <c r="I51" s="95"/>
      <c r="J51" s="95"/>
      <c r="K51" s="95"/>
      <c r="L51" s="95"/>
      <c r="M51" s="95"/>
      <c r="N51" s="95"/>
      <c r="O51" s="95"/>
      <c r="P51" s="95"/>
      <c r="Q51" s="97"/>
    </row>
    <row r="52" spans="1:17">
      <c r="A52" s="102"/>
      <c r="B52" s="95"/>
      <c r="C52" s="95"/>
      <c r="D52" s="95"/>
      <c r="E52" s="95"/>
      <c r="F52" s="95"/>
      <c r="G52" s="95"/>
      <c r="H52" s="95"/>
      <c r="I52" s="95"/>
      <c r="J52" s="95"/>
      <c r="K52" s="95"/>
      <c r="L52" s="95"/>
      <c r="M52" s="95"/>
      <c r="N52" s="95"/>
      <c r="O52" s="95"/>
      <c r="P52" s="95"/>
      <c r="Q52" s="97"/>
    </row>
    <row r="53" spans="1:17">
      <c r="A53" s="102"/>
      <c r="B53" s="95"/>
      <c r="C53" s="95"/>
      <c r="D53" s="95"/>
      <c r="E53" s="95"/>
      <c r="F53" s="95"/>
      <c r="G53" s="95"/>
      <c r="H53" s="95"/>
      <c r="I53" s="95"/>
      <c r="J53" s="95"/>
      <c r="K53" s="95"/>
      <c r="L53" s="95"/>
      <c r="M53" s="95"/>
      <c r="N53" s="95"/>
      <c r="O53" s="95"/>
      <c r="P53" s="95"/>
      <c r="Q53" s="97"/>
    </row>
    <row r="54" spans="1:17">
      <c r="A54" s="102"/>
      <c r="B54" s="95"/>
      <c r="C54" s="95"/>
      <c r="D54" s="95"/>
      <c r="E54" s="95"/>
      <c r="F54" s="95"/>
      <c r="G54" s="95"/>
      <c r="H54" s="95"/>
      <c r="I54" s="95"/>
      <c r="J54" s="95"/>
      <c r="K54" s="95"/>
      <c r="L54" s="95"/>
      <c r="M54" s="95"/>
      <c r="N54" s="95"/>
      <c r="O54" s="95"/>
      <c r="P54" s="95"/>
      <c r="Q54" s="97"/>
    </row>
    <row r="55" spans="1:17">
      <c r="A55" s="102"/>
      <c r="B55" s="95"/>
      <c r="C55" s="95"/>
      <c r="D55" s="95"/>
      <c r="E55" s="95"/>
      <c r="F55" s="95"/>
      <c r="G55" s="95"/>
      <c r="H55" s="95"/>
      <c r="I55" s="95"/>
      <c r="J55" s="95"/>
      <c r="K55" s="95"/>
      <c r="L55" s="95"/>
      <c r="M55" s="95"/>
      <c r="N55" s="95"/>
      <c r="O55" s="95"/>
      <c r="P55" s="95"/>
      <c r="Q55" s="97"/>
    </row>
    <row r="56" spans="1:17">
      <c r="A56" s="102"/>
      <c r="B56" s="95"/>
      <c r="C56" s="95"/>
      <c r="D56" s="95"/>
      <c r="E56" s="95"/>
      <c r="F56" s="95"/>
      <c r="G56" s="95"/>
      <c r="H56" s="95"/>
      <c r="I56" s="95"/>
      <c r="J56" s="95"/>
      <c r="K56" s="95"/>
      <c r="L56" s="95"/>
      <c r="M56" s="95"/>
      <c r="N56" s="95"/>
      <c r="O56" s="95"/>
      <c r="P56" s="95"/>
      <c r="Q56" s="97"/>
    </row>
    <row r="57" spans="1:17">
      <c r="A57" s="102"/>
      <c r="B57" s="95"/>
      <c r="C57" s="95"/>
      <c r="D57" s="95"/>
      <c r="E57" s="95"/>
      <c r="F57" s="95"/>
      <c r="G57" s="95"/>
      <c r="H57" s="95"/>
      <c r="I57" s="95"/>
      <c r="J57" s="95"/>
      <c r="K57" s="95"/>
      <c r="L57" s="95"/>
      <c r="M57" s="95"/>
      <c r="N57" s="95"/>
      <c r="O57" s="95"/>
      <c r="P57" s="95"/>
      <c r="Q57" s="97"/>
    </row>
    <row r="58" spans="1:17">
      <c r="A58" s="102"/>
      <c r="B58" s="95"/>
      <c r="C58" s="95"/>
      <c r="D58" s="95"/>
      <c r="E58" s="95"/>
      <c r="F58" s="95"/>
      <c r="G58" s="95"/>
      <c r="H58" s="95"/>
      <c r="I58" s="95"/>
      <c r="J58" s="95"/>
      <c r="K58" s="95"/>
      <c r="L58" s="95"/>
      <c r="M58" s="95"/>
      <c r="N58" s="95"/>
      <c r="O58" s="95"/>
      <c r="P58" s="95"/>
      <c r="Q58" s="97"/>
    </row>
    <row r="59" spans="1:17">
      <c r="A59" s="102"/>
      <c r="B59" s="95"/>
      <c r="C59" s="95"/>
      <c r="D59" s="95"/>
      <c r="E59" s="95"/>
      <c r="F59" s="95"/>
      <c r="G59" s="95"/>
      <c r="H59" s="95"/>
      <c r="I59" s="95"/>
      <c r="J59" s="95"/>
      <c r="K59" s="95"/>
      <c r="L59" s="95"/>
      <c r="M59" s="95"/>
      <c r="N59" s="95"/>
      <c r="O59" s="95"/>
      <c r="P59" s="95"/>
      <c r="Q59" s="97"/>
    </row>
    <row r="60" spans="1:17">
      <c r="A60" s="102"/>
      <c r="B60" s="95"/>
      <c r="C60" s="95"/>
      <c r="D60" s="95"/>
      <c r="E60" s="95"/>
      <c r="F60" s="95"/>
      <c r="G60" s="95"/>
      <c r="H60" s="95"/>
      <c r="I60" s="95"/>
      <c r="J60" s="95"/>
      <c r="K60" s="95"/>
      <c r="L60" s="95"/>
      <c r="M60" s="95"/>
      <c r="N60" s="95"/>
      <c r="O60" s="95"/>
      <c r="P60" s="95"/>
      <c r="Q60" s="97"/>
    </row>
    <row r="61" spans="1:17">
      <c r="A61" s="102"/>
      <c r="B61" s="95"/>
      <c r="C61" s="95"/>
      <c r="D61" s="95"/>
      <c r="E61" s="95"/>
      <c r="F61" s="95"/>
      <c r="G61" s="95"/>
      <c r="H61" s="95"/>
      <c r="I61" s="95"/>
      <c r="J61" s="95"/>
      <c r="K61" s="95"/>
      <c r="L61" s="95"/>
      <c r="M61" s="95"/>
      <c r="N61" s="95"/>
      <c r="O61" s="95"/>
      <c r="P61" s="95"/>
      <c r="Q61" s="97"/>
    </row>
    <row r="62" spans="1:17">
      <c r="A62" s="102"/>
      <c r="B62" s="95"/>
      <c r="C62" s="95"/>
      <c r="D62" s="95"/>
      <c r="E62" s="95"/>
      <c r="F62" s="95"/>
      <c r="G62" s="95"/>
      <c r="H62" s="95"/>
      <c r="I62" s="95"/>
      <c r="J62" s="95"/>
      <c r="K62" s="95"/>
      <c r="L62" s="95"/>
      <c r="M62" s="95"/>
      <c r="N62" s="95"/>
      <c r="O62" s="95"/>
      <c r="P62" s="95"/>
      <c r="Q62" s="97"/>
    </row>
    <row r="63" spans="1:17">
      <c r="A63" s="102"/>
      <c r="B63" s="95"/>
      <c r="C63" s="95"/>
      <c r="D63" s="95"/>
      <c r="E63" s="95"/>
      <c r="F63" s="95"/>
      <c r="G63" s="95"/>
      <c r="H63" s="95"/>
      <c r="I63" s="95"/>
      <c r="J63" s="95"/>
      <c r="K63" s="95"/>
      <c r="L63" s="95"/>
      <c r="M63" s="95"/>
      <c r="N63" s="95"/>
      <c r="O63" s="95"/>
      <c r="P63" s="95"/>
      <c r="Q63" s="97"/>
    </row>
    <row r="64" spans="1:17">
      <c r="A64" s="102"/>
      <c r="B64" s="95"/>
      <c r="C64" s="95"/>
      <c r="D64" s="95"/>
      <c r="E64" s="95"/>
      <c r="F64" s="95"/>
      <c r="G64" s="95"/>
      <c r="H64" s="95"/>
      <c r="I64" s="95"/>
      <c r="J64" s="95"/>
      <c r="K64" s="95"/>
      <c r="L64" s="95"/>
      <c r="M64" s="95"/>
      <c r="N64" s="95"/>
      <c r="O64" s="95"/>
      <c r="P64" s="95"/>
      <c r="Q64" s="97"/>
    </row>
    <row r="65" spans="1:17">
      <c r="A65" s="102"/>
      <c r="B65" s="95"/>
      <c r="C65" s="95"/>
      <c r="D65" s="95"/>
      <c r="E65" s="95"/>
      <c r="F65" s="95"/>
      <c r="G65" s="95"/>
      <c r="H65" s="95"/>
      <c r="I65" s="95"/>
      <c r="J65" s="95"/>
      <c r="K65" s="95"/>
      <c r="L65" s="95"/>
      <c r="M65" s="95"/>
      <c r="N65" s="95"/>
      <c r="O65" s="95"/>
      <c r="P65" s="95"/>
      <c r="Q65" s="97"/>
    </row>
    <row r="66" spans="1:17">
      <c r="A66" s="102"/>
      <c r="B66" s="95"/>
      <c r="C66" s="95"/>
      <c r="D66" s="95"/>
      <c r="E66" s="95"/>
      <c r="F66" s="95"/>
      <c r="G66" s="95"/>
      <c r="H66" s="95"/>
      <c r="I66" s="95"/>
      <c r="J66" s="95"/>
      <c r="K66" s="95"/>
      <c r="L66" s="95"/>
      <c r="M66" s="95"/>
      <c r="N66" s="95"/>
      <c r="O66" s="95"/>
      <c r="P66" s="95"/>
      <c r="Q66" s="97"/>
    </row>
    <row r="67" spans="1:17">
      <c r="A67" s="102"/>
      <c r="B67" s="95"/>
      <c r="C67" s="95"/>
      <c r="D67" s="95"/>
      <c r="E67" s="95"/>
      <c r="F67" s="95"/>
      <c r="G67" s="95"/>
      <c r="H67" s="95"/>
      <c r="I67" s="95"/>
      <c r="J67" s="95"/>
      <c r="K67" s="95"/>
      <c r="L67" s="95"/>
      <c r="M67" s="95"/>
      <c r="N67" s="95"/>
      <c r="O67" s="95"/>
      <c r="P67" s="95"/>
      <c r="Q67" s="97"/>
    </row>
    <row r="68" spans="1:17">
      <c r="A68" s="102"/>
      <c r="B68" s="95"/>
      <c r="C68" s="95"/>
      <c r="D68" s="95"/>
      <c r="E68" s="95"/>
      <c r="F68" s="95"/>
      <c r="G68" s="95"/>
      <c r="H68" s="95"/>
      <c r="I68" s="95"/>
      <c r="J68" s="95"/>
      <c r="K68" s="95"/>
      <c r="L68" s="95"/>
      <c r="M68" s="95"/>
      <c r="N68" s="95"/>
      <c r="O68" s="95"/>
      <c r="P68" s="95"/>
      <c r="Q68" s="97"/>
    </row>
    <row r="69" spans="1:17">
      <c r="A69" s="102"/>
      <c r="B69" s="95"/>
      <c r="C69" s="95"/>
      <c r="D69" s="95"/>
      <c r="E69" s="95"/>
      <c r="F69" s="95"/>
      <c r="G69" s="95"/>
      <c r="H69" s="95"/>
      <c r="I69" s="95"/>
      <c r="J69" s="95"/>
      <c r="K69" s="95"/>
      <c r="L69" s="95"/>
      <c r="M69" s="95"/>
      <c r="N69" s="95"/>
      <c r="O69" s="95"/>
      <c r="P69" s="95"/>
      <c r="Q69" s="97"/>
    </row>
    <row r="70" spans="1:17">
      <c r="A70" s="102"/>
      <c r="B70" s="95"/>
      <c r="C70" s="95"/>
      <c r="D70" s="95"/>
      <c r="E70" s="95"/>
      <c r="F70" s="95"/>
      <c r="G70" s="95"/>
      <c r="H70" s="95"/>
      <c r="I70" s="95"/>
      <c r="J70" s="95"/>
      <c r="K70" s="95"/>
      <c r="L70" s="95"/>
      <c r="M70" s="95"/>
      <c r="N70" s="95"/>
      <c r="O70" s="95"/>
      <c r="P70" s="95"/>
      <c r="Q70" s="97"/>
    </row>
    <row r="71" spans="1:17">
      <c r="A71" s="102"/>
      <c r="B71" s="95"/>
      <c r="C71" s="95"/>
      <c r="D71" s="95"/>
      <c r="E71" s="95"/>
      <c r="F71" s="95"/>
      <c r="G71" s="95"/>
      <c r="H71" s="95"/>
      <c r="I71" s="95"/>
      <c r="J71" s="95"/>
      <c r="K71" s="95"/>
      <c r="L71" s="95"/>
      <c r="M71" s="95"/>
      <c r="N71" s="95"/>
      <c r="O71" s="95"/>
      <c r="P71" s="95"/>
      <c r="Q71" s="97"/>
    </row>
    <row r="72" spans="1:17">
      <c r="A72" s="102"/>
      <c r="B72" s="95"/>
      <c r="C72" s="95"/>
      <c r="D72" s="95"/>
      <c r="E72" s="95"/>
      <c r="F72" s="95"/>
      <c r="G72" s="95"/>
      <c r="H72" s="95"/>
      <c r="I72" s="95"/>
      <c r="J72" s="95"/>
      <c r="K72" s="95"/>
      <c r="L72" s="95"/>
      <c r="M72" s="95"/>
      <c r="N72" s="95"/>
      <c r="O72" s="95"/>
      <c r="P72" s="95"/>
      <c r="Q72" s="97"/>
    </row>
    <row r="73" spans="1:17">
      <c r="A73" s="102"/>
      <c r="B73" s="95"/>
      <c r="C73" s="95"/>
      <c r="D73" s="95"/>
      <c r="E73" s="95"/>
      <c r="F73" s="95"/>
      <c r="G73" s="95"/>
      <c r="H73" s="95"/>
      <c r="I73" s="95"/>
      <c r="J73" s="95"/>
      <c r="K73" s="95"/>
      <c r="L73" s="95"/>
      <c r="M73" s="95"/>
      <c r="N73" s="95"/>
      <c r="O73" s="95"/>
      <c r="P73" s="95"/>
      <c r="Q73" s="97"/>
    </row>
    <row r="74" spans="1:17">
      <c r="A74" s="102"/>
      <c r="B74" s="95"/>
      <c r="C74" s="95"/>
      <c r="D74" s="95"/>
      <c r="E74" s="95"/>
      <c r="F74" s="95"/>
      <c r="G74" s="95"/>
      <c r="H74" s="95"/>
      <c r="I74" s="95"/>
      <c r="J74" s="95"/>
      <c r="K74" s="95"/>
      <c r="L74" s="95"/>
      <c r="M74" s="95"/>
      <c r="N74" s="95"/>
      <c r="O74" s="95"/>
      <c r="P74" s="95"/>
      <c r="Q74" s="97"/>
    </row>
    <row r="75" spans="1:17">
      <c r="A75" s="102"/>
      <c r="B75" s="103"/>
      <c r="C75" s="103"/>
      <c r="D75" s="103"/>
      <c r="E75" s="103"/>
      <c r="F75" s="103"/>
      <c r="G75" s="103"/>
      <c r="H75" s="103"/>
      <c r="I75" s="103"/>
      <c r="J75" s="103"/>
      <c r="K75" s="103"/>
      <c r="L75" s="103"/>
      <c r="M75" s="103"/>
      <c r="N75" s="103"/>
      <c r="O75" s="103"/>
      <c r="P75" s="103"/>
      <c r="Q75" s="104"/>
    </row>
    <row r="76" spans="1:17">
      <c r="A76" s="105"/>
    </row>
  </sheetData>
  <mergeCells count="15">
    <mergeCell ref="A1:Q1"/>
    <mergeCell ref="A2:Q2"/>
    <mergeCell ref="A3:Q3"/>
    <mergeCell ref="A5:A6"/>
    <mergeCell ref="B5:B6"/>
    <mergeCell ref="C5:C6"/>
    <mergeCell ref="D5:D6"/>
    <mergeCell ref="E5:E6"/>
    <mergeCell ref="F5:F6"/>
    <mergeCell ref="G5:H5"/>
    <mergeCell ref="I5:I6"/>
    <mergeCell ref="J5:J6"/>
    <mergeCell ref="K5:M5"/>
    <mergeCell ref="N5:P5"/>
    <mergeCell ref="Q5:Q6"/>
  </mergeCells>
  <dataValidations count="1">
    <dataValidation type="list" allowBlank="1" showInputMessage="1" showErrorMessage="1" sqref="D10:D75 C7:C75">
      <formula1>$R$1:$R$3</formula1>
    </dataValidation>
  </dataValidations>
  <printOptions horizontalCentered="1" verticalCentered="1"/>
  <pageMargins left="7.874015748031496E-2" right="0.15748031496062992" top="0.31496062992125984" bottom="0.74803149606299213" header="0.31496062992125984" footer="0.31496062992125984"/>
  <pageSetup scale="45" orientation="landscape" r:id="rId1"/>
  <drawing r:id="rId2"/>
  <legacyDrawing r:id="rId3"/>
</worksheet>
</file>

<file path=xl/worksheets/sheet7.xml><?xml version="1.0" encoding="utf-8"?>
<worksheet xmlns="http://schemas.openxmlformats.org/spreadsheetml/2006/main" xmlns:r="http://schemas.openxmlformats.org/officeDocument/2006/relationships">
  <dimension ref="A1:R14"/>
  <sheetViews>
    <sheetView zoomScale="80" zoomScaleNormal="80" workbookViewId="0">
      <selection activeCell="A2" sqref="A2:Q2"/>
    </sheetView>
  </sheetViews>
  <sheetFormatPr baseColWidth="10" defaultColWidth="11.42578125" defaultRowHeight="15"/>
  <cols>
    <col min="1" max="1" width="5.7109375" style="52" customWidth="1"/>
    <col min="2" max="2" width="25.7109375" style="52" customWidth="1"/>
    <col min="3" max="3" width="14.28515625" style="52" customWidth="1"/>
    <col min="4" max="4" width="24.28515625" style="52" customWidth="1"/>
    <col min="5" max="5" width="30.85546875" style="65" customWidth="1"/>
    <col min="6" max="6" width="11.42578125" style="52"/>
    <col min="7" max="7" width="12.7109375" style="52" customWidth="1"/>
    <col min="8" max="8" width="13.5703125" style="52" customWidth="1"/>
    <col min="9" max="9" width="15.7109375" style="52" customWidth="1"/>
    <col min="10" max="10" width="13.7109375" style="52" customWidth="1"/>
    <col min="11" max="11" width="19" style="52" customWidth="1"/>
    <col min="12" max="12" width="14.28515625" style="52" customWidth="1"/>
    <col min="13" max="13" width="11.42578125" style="52"/>
    <col min="14" max="14" width="19.28515625" style="52" customWidth="1"/>
    <col min="15" max="15" width="14.28515625" style="52" customWidth="1"/>
    <col min="16" max="16" width="11.42578125" style="52"/>
    <col min="17" max="17" width="35" style="52" customWidth="1"/>
    <col min="18" max="16384" width="11.42578125" style="52"/>
  </cols>
  <sheetData>
    <row r="1" spans="1:18" ht="18.75">
      <c r="A1" s="424" t="s">
        <v>0</v>
      </c>
      <c r="B1" s="425"/>
      <c r="C1" s="425"/>
      <c r="D1" s="425"/>
      <c r="E1" s="425"/>
      <c r="F1" s="425"/>
      <c r="G1" s="425"/>
      <c r="H1" s="425"/>
      <c r="I1" s="425"/>
      <c r="J1" s="425"/>
      <c r="K1" s="425"/>
      <c r="L1" s="425"/>
      <c r="M1" s="425"/>
      <c r="N1" s="425"/>
      <c r="O1" s="425"/>
      <c r="P1" s="425"/>
      <c r="Q1" s="425"/>
      <c r="R1" s="51" t="s">
        <v>14</v>
      </c>
    </row>
    <row r="2" spans="1:18" ht="18.75">
      <c r="A2" s="424" t="s">
        <v>208</v>
      </c>
      <c r="B2" s="425"/>
      <c r="C2" s="425"/>
      <c r="D2" s="425"/>
      <c r="E2" s="425"/>
      <c r="F2" s="425"/>
      <c r="G2" s="425"/>
      <c r="H2" s="425"/>
      <c r="I2" s="425"/>
      <c r="J2" s="425"/>
      <c r="K2" s="425"/>
      <c r="L2" s="425"/>
      <c r="M2" s="425"/>
      <c r="N2" s="425"/>
      <c r="O2" s="425"/>
      <c r="P2" s="425"/>
      <c r="Q2" s="425"/>
      <c r="R2" s="51" t="s">
        <v>15</v>
      </c>
    </row>
    <row r="3" spans="1:18" ht="18.75">
      <c r="A3" s="426" t="s">
        <v>25</v>
      </c>
      <c r="B3" s="425"/>
      <c r="C3" s="425"/>
      <c r="D3" s="425"/>
      <c r="E3" s="425"/>
      <c r="F3" s="425"/>
      <c r="G3" s="425"/>
      <c r="H3" s="425"/>
      <c r="I3" s="425"/>
      <c r="J3" s="425"/>
      <c r="K3" s="425"/>
      <c r="L3" s="425"/>
      <c r="M3" s="425"/>
      <c r="N3" s="425"/>
      <c r="O3" s="425"/>
      <c r="P3" s="425"/>
      <c r="Q3" s="425"/>
      <c r="R3" s="51" t="s">
        <v>160</v>
      </c>
    </row>
    <row r="4" spans="1:18" ht="15.75" thickBot="1">
      <c r="A4" s="53"/>
      <c r="B4" s="54"/>
      <c r="C4" s="54"/>
      <c r="D4" s="54"/>
      <c r="E4" s="55"/>
      <c r="F4" s="54"/>
      <c r="G4" s="54"/>
      <c r="H4" s="54"/>
      <c r="I4" s="54"/>
      <c r="J4" s="54"/>
      <c r="K4" s="54"/>
      <c r="L4" s="54"/>
      <c r="M4" s="54"/>
      <c r="N4" s="54"/>
      <c r="O4" s="54"/>
      <c r="P4" s="54"/>
      <c r="Q4" s="54"/>
    </row>
    <row r="5" spans="1:18" ht="30.75" customHeight="1" thickTop="1" thickBot="1">
      <c r="A5" s="411" t="s">
        <v>1</v>
      </c>
      <c r="B5" s="411" t="s">
        <v>2</v>
      </c>
      <c r="C5" s="409" t="s">
        <v>3</v>
      </c>
      <c r="D5" s="409" t="s">
        <v>19</v>
      </c>
      <c r="E5" s="409" t="s">
        <v>4</v>
      </c>
      <c r="F5" s="409" t="s">
        <v>5</v>
      </c>
      <c r="G5" s="422" t="s">
        <v>17</v>
      </c>
      <c r="H5" s="423"/>
      <c r="I5" s="409" t="s">
        <v>6</v>
      </c>
      <c r="J5" s="411" t="s">
        <v>7</v>
      </c>
      <c r="K5" s="413" t="s">
        <v>8</v>
      </c>
      <c r="L5" s="413"/>
      <c r="M5" s="413"/>
      <c r="N5" s="413" t="s">
        <v>9</v>
      </c>
      <c r="O5" s="414"/>
      <c r="P5" s="414"/>
      <c r="Q5" s="415" t="s">
        <v>161</v>
      </c>
    </row>
    <row r="6" spans="1:18" s="58" customFormat="1" ht="57.75" customHeight="1" thickTop="1">
      <c r="A6" s="474"/>
      <c r="B6" s="474"/>
      <c r="C6" s="473"/>
      <c r="D6" s="473"/>
      <c r="E6" s="473"/>
      <c r="F6" s="473"/>
      <c r="G6" s="56" t="s">
        <v>16</v>
      </c>
      <c r="H6" s="56" t="s">
        <v>18</v>
      </c>
      <c r="I6" s="473"/>
      <c r="J6" s="474"/>
      <c r="K6" s="57" t="s">
        <v>10</v>
      </c>
      <c r="L6" s="57" t="s">
        <v>24</v>
      </c>
      <c r="M6" s="57" t="s">
        <v>11</v>
      </c>
      <c r="N6" s="57" t="s">
        <v>12</v>
      </c>
      <c r="O6" s="57" t="s">
        <v>24</v>
      </c>
      <c r="P6" s="57" t="s">
        <v>13</v>
      </c>
      <c r="Q6" s="521"/>
    </row>
    <row r="7" spans="1:18" ht="84" customHeight="1">
      <c r="A7" s="517">
        <v>1</v>
      </c>
      <c r="B7" s="517" t="s">
        <v>162</v>
      </c>
      <c r="C7" s="59" t="s">
        <v>15</v>
      </c>
      <c r="D7" s="519">
        <v>348160000</v>
      </c>
      <c r="E7" s="59" t="s">
        <v>163</v>
      </c>
      <c r="F7" s="59" t="s">
        <v>164</v>
      </c>
      <c r="G7" s="59" t="s">
        <v>165</v>
      </c>
      <c r="H7" s="59" t="s">
        <v>166</v>
      </c>
      <c r="I7" s="59">
        <v>9035</v>
      </c>
      <c r="J7" s="59" t="s">
        <v>167</v>
      </c>
      <c r="K7" s="59">
        <v>4</v>
      </c>
      <c r="L7" s="59"/>
      <c r="M7" s="59"/>
      <c r="N7" s="59" t="s">
        <v>168</v>
      </c>
      <c r="O7" s="59"/>
      <c r="P7" s="59"/>
      <c r="Q7" s="517" t="s">
        <v>169</v>
      </c>
      <c r="R7" s="60"/>
    </row>
    <row r="8" spans="1:18" ht="132" customHeight="1">
      <c r="A8" s="518"/>
      <c r="B8" s="518"/>
      <c r="C8" s="59" t="s">
        <v>15</v>
      </c>
      <c r="D8" s="520"/>
      <c r="E8" s="59" t="s">
        <v>170</v>
      </c>
      <c r="F8" s="59" t="s">
        <v>171</v>
      </c>
      <c r="G8" s="59" t="s">
        <v>172</v>
      </c>
      <c r="H8" s="59" t="s">
        <v>173</v>
      </c>
      <c r="I8" s="59">
        <v>9035</v>
      </c>
      <c r="J8" s="59" t="s">
        <v>174</v>
      </c>
      <c r="K8" s="59">
        <v>3</v>
      </c>
      <c r="L8" s="59"/>
      <c r="M8" s="59"/>
      <c r="N8" s="61" t="s">
        <v>175</v>
      </c>
      <c r="O8" s="59"/>
      <c r="P8" s="59"/>
      <c r="Q8" s="518"/>
    </row>
    <row r="9" spans="1:18" ht="83.25" customHeight="1">
      <c r="A9" s="59">
        <v>2</v>
      </c>
      <c r="B9" s="59" t="s">
        <v>207</v>
      </c>
      <c r="C9" s="59" t="s">
        <v>15</v>
      </c>
      <c r="D9" s="62" t="s">
        <v>196</v>
      </c>
      <c r="E9" s="59" t="s">
        <v>206</v>
      </c>
      <c r="F9" s="62" t="s">
        <v>196</v>
      </c>
      <c r="G9" s="62" t="s">
        <v>196</v>
      </c>
      <c r="H9" s="62" t="s">
        <v>196</v>
      </c>
      <c r="I9" s="62" t="s">
        <v>196</v>
      </c>
      <c r="J9" s="62" t="s">
        <v>196</v>
      </c>
      <c r="K9" s="62" t="s">
        <v>196</v>
      </c>
      <c r="L9" s="59"/>
      <c r="M9" s="59"/>
      <c r="N9" s="62" t="s">
        <v>196</v>
      </c>
      <c r="O9" s="59"/>
      <c r="P9" s="59"/>
      <c r="Q9" s="59" t="s">
        <v>205</v>
      </c>
    </row>
    <row r="10" spans="1:18" ht="253.5" customHeight="1">
      <c r="A10" s="59">
        <v>3</v>
      </c>
      <c r="B10" s="59" t="s">
        <v>198</v>
      </c>
      <c r="C10" s="59" t="s">
        <v>15</v>
      </c>
      <c r="D10" s="62">
        <v>1102000000</v>
      </c>
      <c r="E10" s="63" t="s">
        <v>204</v>
      </c>
      <c r="F10" s="59" t="s">
        <v>203</v>
      </c>
      <c r="G10" s="59" t="s">
        <v>196</v>
      </c>
      <c r="H10" s="59" t="s">
        <v>196</v>
      </c>
      <c r="I10" s="59" t="s">
        <v>195</v>
      </c>
      <c r="J10" s="59" t="s">
        <v>202</v>
      </c>
      <c r="K10" s="64" t="s">
        <v>201</v>
      </c>
      <c r="L10" s="59" t="s">
        <v>200</v>
      </c>
      <c r="M10" s="110">
        <v>0.5</v>
      </c>
      <c r="N10" s="62">
        <v>1102000000</v>
      </c>
      <c r="O10" s="108">
        <v>500000000</v>
      </c>
      <c r="P10" s="107">
        <f>(O10/N10)</f>
        <v>0.45372050816696913</v>
      </c>
      <c r="Q10" s="59" t="s">
        <v>199</v>
      </c>
    </row>
    <row r="11" spans="1:18" ht="120">
      <c r="A11" s="59">
        <v>4</v>
      </c>
      <c r="B11" s="59" t="s">
        <v>198</v>
      </c>
      <c r="C11" s="59" t="s">
        <v>15</v>
      </c>
      <c r="D11" s="62">
        <v>580000000</v>
      </c>
      <c r="E11" s="63" t="s">
        <v>197</v>
      </c>
      <c r="F11" s="59" t="s">
        <v>196</v>
      </c>
      <c r="G11" s="59" t="s">
        <v>196</v>
      </c>
      <c r="H11" s="59" t="s">
        <v>196</v>
      </c>
      <c r="I11" s="59" t="s">
        <v>195</v>
      </c>
      <c r="J11" s="59" t="s">
        <v>194</v>
      </c>
      <c r="K11" s="64" t="s">
        <v>193</v>
      </c>
      <c r="L11" s="59" t="s">
        <v>192</v>
      </c>
      <c r="M11" s="110">
        <v>0.3</v>
      </c>
      <c r="N11" s="109">
        <v>580000000</v>
      </c>
      <c r="O11" s="108">
        <v>200000000</v>
      </c>
      <c r="P11" s="107">
        <f>(O11/N11)</f>
        <v>0.34482758620689657</v>
      </c>
      <c r="Q11" s="59"/>
    </row>
    <row r="12" spans="1:18">
      <c r="A12" s="59"/>
      <c r="B12" s="59"/>
      <c r="C12" s="59"/>
      <c r="D12" s="62"/>
      <c r="E12" s="63"/>
      <c r="F12" s="59"/>
      <c r="G12" s="59"/>
      <c r="H12" s="59"/>
      <c r="I12" s="59"/>
      <c r="J12" s="59"/>
      <c r="K12" s="64"/>
      <c r="L12" s="59"/>
      <c r="M12" s="59"/>
      <c r="N12" s="61"/>
      <c r="O12" s="59"/>
      <c r="P12" s="59"/>
      <c r="Q12" s="59"/>
    </row>
    <row r="13" spans="1:18">
      <c r="A13" s="59"/>
      <c r="B13" s="59"/>
      <c r="C13" s="59"/>
      <c r="D13" s="62"/>
      <c r="E13" s="63"/>
      <c r="F13" s="59"/>
      <c r="G13" s="59"/>
      <c r="H13" s="59"/>
      <c r="I13" s="59"/>
      <c r="J13" s="59"/>
      <c r="K13" s="64"/>
      <c r="L13" s="59"/>
      <c r="M13" s="59"/>
      <c r="N13" s="61"/>
      <c r="O13" s="59"/>
      <c r="P13" s="59"/>
      <c r="Q13" s="59"/>
    </row>
    <row r="14" spans="1:18">
      <c r="A14" s="59"/>
      <c r="B14" s="59"/>
      <c r="C14" s="59"/>
      <c r="D14" s="62"/>
      <c r="E14" s="63"/>
      <c r="F14" s="59"/>
      <c r="G14" s="59"/>
      <c r="H14" s="59"/>
      <c r="I14" s="59"/>
      <c r="J14" s="59"/>
      <c r="K14" s="64"/>
      <c r="L14" s="59"/>
      <c r="M14" s="59"/>
      <c r="N14" s="61"/>
      <c r="O14" s="59"/>
      <c r="P14" s="59"/>
      <c r="Q14" s="59"/>
    </row>
  </sheetData>
  <mergeCells count="19">
    <mergeCell ref="A1:Q1"/>
    <mergeCell ref="A2:Q2"/>
    <mergeCell ref="A3:Q3"/>
    <mergeCell ref="A5:A6"/>
    <mergeCell ref="B5:B6"/>
    <mergeCell ref="C5:C6"/>
    <mergeCell ref="E5:E6"/>
    <mergeCell ref="F5:F6"/>
    <mergeCell ref="I5:I6"/>
    <mergeCell ref="J5:J6"/>
    <mergeCell ref="Q7:Q8"/>
    <mergeCell ref="B7:B8"/>
    <mergeCell ref="A7:A8"/>
    <mergeCell ref="D7:D8"/>
    <mergeCell ref="K5:M5"/>
    <mergeCell ref="N5:P5"/>
    <mergeCell ref="Q5:Q6"/>
    <mergeCell ref="G5:H5"/>
    <mergeCell ref="D5:D6"/>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P54"/>
  <sheetViews>
    <sheetView topLeftCell="A5" zoomScale="70" zoomScaleNormal="70" workbookViewId="0">
      <selection activeCell="C9" sqref="C9"/>
    </sheetView>
  </sheetViews>
  <sheetFormatPr baseColWidth="10" defaultColWidth="11.42578125" defaultRowHeight="15.75"/>
  <cols>
    <col min="1" max="1" width="5.42578125" style="26" bestFit="1" customWidth="1"/>
    <col min="2" max="2" width="39.7109375" style="21" bestFit="1" customWidth="1"/>
    <col min="3" max="3" width="22.28515625" style="16" customWidth="1"/>
    <col min="4" max="4" width="27.7109375" style="16" customWidth="1"/>
    <col min="5" max="5" width="55.85546875" style="44" customWidth="1"/>
    <col min="6" max="6" width="23" style="16" bestFit="1" customWidth="1"/>
    <col min="7" max="7" width="18.28515625" style="44" bestFit="1" customWidth="1"/>
    <col min="8" max="8" width="24.42578125" style="43" bestFit="1" customWidth="1"/>
    <col min="9" max="9" width="15.7109375" style="16" customWidth="1"/>
    <col min="10" max="10" width="15.28515625" style="16" customWidth="1"/>
    <col min="11" max="11" width="16" style="16" customWidth="1"/>
    <col min="12" max="12" width="13.7109375" style="16" customWidth="1"/>
    <col min="13" max="13" width="9.42578125" style="16" bestFit="1" customWidth="1"/>
    <col min="14" max="14" width="15.7109375" style="16" customWidth="1"/>
    <col min="15" max="15" width="13.85546875" style="16" customWidth="1"/>
    <col min="16" max="16" width="13.7109375" style="16" customWidth="1"/>
    <col min="17" max="16384" width="11.42578125" style="16"/>
  </cols>
  <sheetData>
    <row r="1" spans="1:16">
      <c r="A1" s="522" t="s">
        <v>0</v>
      </c>
      <c r="B1" s="523"/>
      <c r="C1" s="523"/>
      <c r="D1" s="523"/>
      <c r="E1" s="523"/>
      <c r="F1" s="523"/>
      <c r="G1" s="523"/>
      <c r="H1" s="523"/>
      <c r="I1" s="523"/>
      <c r="J1" s="523"/>
      <c r="K1" s="523"/>
      <c r="L1" s="523"/>
      <c r="M1" s="523"/>
      <c r="N1" s="523"/>
      <c r="O1" s="523"/>
      <c r="P1" s="523"/>
    </row>
    <row r="2" spans="1:16">
      <c r="A2" s="522" t="s">
        <v>21</v>
      </c>
      <c r="B2" s="523"/>
      <c r="C2" s="523"/>
      <c r="D2" s="523"/>
      <c r="E2" s="523"/>
      <c r="F2" s="523"/>
      <c r="G2" s="523"/>
      <c r="H2" s="523"/>
      <c r="I2" s="523"/>
      <c r="J2" s="523"/>
      <c r="K2" s="523"/>
      <c r="L2" s="523"/>
      <c r="M2" s="523"/>
      <c r="N2" s="523"/>
      <c r="O2" s="523"/>
      <c r="P2" s="523"/>
    </row>
    <row r="3" spans="1:16">
      <c r="A3" s="524" t="s">
        <v>25</v>
      </c>
      <c r="B3" s="523"/>
      <c r="C3" s="523"/>
      <c r="D3" s="523"/>
      <c r="E3" s="523"/>
      <c r="F3" s="523"/>
      <c r="G3" s="523"/>
      <c r="H3" s="523"/>
      <c r="I3" s="523"/>
      <c r="J3" s="523"/>
      <c r="K3" s="523"/>
      <c r="L3" s="523"/>
      <c r="M3" s="523"/>
      <c r="N3" s="523"/>
      <c r="O3" s="523"/>
      <c r="P3" s="523"/>
    </row>
    <row r="4" spans="1:16">
      <c r="A4" s="17"/>
      <c r="B4" s="17"/>
      <c r="C4" s="18"/>
      <c r="D4" s="19"/>
      <c r="E4" s="19"/>
      <c r="F4" s="18"/>
      <c r="G4" s="18"/>
      <c r="H4" s="18"/>
      <c r="I4" s="18"/>
      <c r="J4" s="19"/>
      <c r="K4" s="19"/>
      <c r="L4" s="19"/>
      <c r="M4" s="19"/>
      <c r="N4" s="19"/>
      <c r="O4" s="19"/>
      <c r="P4" s="19"/>
    </row>
    <row r="5" spans="1:16">
      <c r="A5" s="525" t="s">
        <v>1</v>
      </c>
      <c r="B5" s="525" t="s">
        <v>2</v>
      </c>
      <c r="C5" s="528" t="s">
        <v>3</v>
      </c>
      <c r="D5" s="528" t="s">
        <v>19</v>
      </c>
      <c r="E5" s="528" t="s">
        <v>4</v>
      </c>
      <c r="F5" s="529" t="s">
        <v>5</v>
      </c>
      <c r="G5" s="528" t="s">
        <v>17</v>
      </c>
      <c r="H5" s="528"/>
      <c r="I5" s="528" t="s">
        <v>6</v>
      </c>
      <c r="J5" s="525" t="s">
        <v>7</v>
      </c>
      <c r="K5" s="539" t="s">
        <v>8</v>
      </c>
      <c r="L5" s="539"/>
      <c r="M5" s="539"/>
      <c r="N5" s="539" t="s">
        <v>9</v>
      </c>
      <c r="O5" s="540"/>
      <c r="P5" s="540"/>
    </row>
    <row r="6" spans="1:16" ht="47.25">
      <c r="A6" s="526"/>
      <c r="B6" s="527"/>
      <c r="C6" s="528"/>
      <c r="D6" s="528"/>
      <c r="E6" s="528"/>
      <c r="F6" s="529"/>
      <c r="G6" s="28" t="s">
        <v>16</v>
      </c>
      <c r="H6" s="28" t="s">
        <v>18</v>
      </c>
      <c r="I6" s="528"/>
      <c r="J6" s="526"/>
      <c r="K6" s="1" t="s">
        <v>10</v>
      </c>
      <c r="L6" s="1" t="s">
        <v>24</v>
      </c>
      <c r="M6" s="1" t="s">
        <v>11</v>
      </c>
      <c r="N6" s="1" t="s">
        <v>12</v>
      </c>
      <c r="O6" s="1" t="s">
        <v>24</v>
      </c>
      <c r="P6" s="1" t="s">
        <v>13</v>
      </c>
    </row>
    <row r="7" spans="1:16" ht="121.5" customHeight="1">
      <c r="A7" s="25">
        <v>1</v>
      </c>
      <c r="B7" s="20" t="s">
        <v>62</v>
      </c>
      <c r="C7" s="7" t="s">
        <v>14</v>
      </c>
      <c r="D7" s="10">
        <v>116</v>
      </c>
      <c r="E7" s="46" t="s">
        <v>63</v>
      </c>
      <c r="F7" s="7" t="s">
        <v>50</v>
      </c>
      <c r="G7" s="11" t="s">
        <v>64</v>
      </c>
      <c r="H7" s="11" t="s">
        <v>139</v>
      </c>
      <c r="I7" s="7">
        <v>940</v>
      </c>
      <c r="J7" s="9" t="s">
        <v>129</v>
      </c>
      <c r="K7" s="7">
        <v>0.9</v>
      </c>
      <c r="L7" s="7"/>
      <c r="M7" s="7"/>
      <c r="N7" s="10">
        <f>0.75*116</f>
        <v>87</v>
      </c>
      <c r="O7" s="7"/>
      <c r="P7" s="7"/>
    </row>
    <row r="8" spans="1:16" ht="132" customHeight="1">
      <c r="A8" s="25">
        <v>2</v>
      </c>
      <c r="B8" s="20" t="s">
        <v>66</v>
      </c>
      <c r="C8" s="7" t="s">
        <v>14</v>
      </c>
      <c r="D8" s="10">
        <v>40</v>
      </c>
      <c r="E8" s="46" t="s">
        <v>67</v>
      </c>
      <c r="F8" s="7" t="s">
        <v>50</v>
      </c>
      <c r="G8" s="15" t="s">
        <v>140</v>
      </c>
      <c r="H8" s="15" t="s">
        <v>141</v>
      </c>
      <c r="I8" s="7">
        <v>940</v>
      </c>
      <c r="J8" s="7" t="s">
        <v>68</v>
      </c>
      <c r="K8" s="7">
        <v>1</v>
      </c>
      <c r="L8" s="7"/>
      <c r="M8" s="7"/>
      <c r="N8" s="10">
        <v>40</v>
      </c>
      <c r="O8" s="7"/>
      <c r="P8" s="7"/>
    </row>
    <row r="9" spans="1:16" ht="163.5" customHeight="1">
      <c r="A9" s="2">
        <v>3</v>
      </c>
      <c r="B9" s="20" t="s">
        <v>69</v>
      </c>
      <c r="C9" s="7" t="s">
        <v>15</v>
      </c>
      <c r="D9" s="10">
        <v>232</v>
      </c>
      <c r="E9" s="46" t="s">
        <v>70</v>
      </c>
      <c r="F9" s="7" t="s">
        <v>50</v>
      </c>
      <c r="G9" s="15" t="s">
        <v>142</v>
      </c>
      <c r="H9" s="15" t="s">
        <v>143</v>
      </c>
      <c r="I9" s="7">
        <v>940</v>
      </c>
      <c r="J9" s="9" t="s">
        <v>129</v>
      </c>
      <c r="K9" s="7">
        <v>0.5</v>
      </c>
      <c r="L9" s="7"/>
      <c r="M9" s="7"/>
      <c r="N9" s="10">
        <f>+D9*0.5</f>
        <v>116</v>
      </c>
      <c r="O9" s="7"/>
      <c r="P9" s="7"/>
    </row>
    <row r="10" spans="1:16" ht="99.75" customHeight="1">
      <c r="A10" s="25">
        <v>4</v>
      </c>
      <c r="B10" s="20" t="s">
        <v>71</v>
      </c>
      <c r="C10" s="7" t="s">
        <v>14</v>
      </c>
      <c r="D10" s="10">
        <v>116</v>
      </c>
      <c r="E10" s="46" t="s">
        <v>72</v>
      </c>
      <c r="F10" s="7" t="s">
        <v>50</v>
      </c>
      <c r="G10" s="15" t="s">
        <v>142</v>
      </c>
      <c r="H10" s="15" t="s">
        <v>144</v>
      </c>
      <c r="I10" s="7">
        <v>940</v>
      </c>
      <c r="J10" s="9" t="s">
        <v>65</v>
      </c>
      <c r="K10" s="7">
        <v>1</v>
      </c>
      <c r="L10" s="7"/>
      <c r="M10" s="7"/>
      <c r="N10" s="10">
        <v>116</v>
      </c>
      <c r="O10" s="7"/>
      <c r="P10" s="7"/>
    </row>
    <row r="11" spans="1:16" ht="147.75" customHeight="1">
      <c r="A11" s="25">
        <v>5</v>
      </c>
      <c r="B11" s="23" t="s">
        <v>130</v>
      </c>
      <c r="C11" s="3" t="s">
        <v>15</v>
      </c>
      <c r="D11" s="10">
        <v>125</v>
      </c>
      <c r="E11" s="8" t="s">
        <v>22</v>
      </c>
      <c r="F11" s="3" t="s">
        <v>23</v>
      </c>
      <c r="G11" s="4">
        <v>40585</v>
      </c>
      <c r="H11" s="4">
        <v>41035</v>
      </c>
      <c r="I11" s="3">
        <v>950</v>
      </c>
      <c r="J11" s="8" t="s">
        <v>20</v>
      </c>
      <c r="K11" s="5">
        <v>1</v>
      </c>
      <c r="L11" s="5"/>
      <c r="M11" s="3"/>
      <c r="N11" s="6">
        <v>70</v>
      </c>
      <c r="O11" s="6"/>
      <c r="P11" s="3"/>
    </row>
    <row r="12" spans="1:16">
      <c r="A12" s="25">
        <v>6</v>
      </c>
      <c r="B12" s="24" t="s">
        <v>38</v>
      </c>
      <c r="C12" s="11" t="s">
        <v>39</v>
      </c>
      <c r="D12" s="10">
        <v>232</v>
      </c>
      <c r="E12" s="11" t="s">
        <v>40</v>
      </c>
      <c r="F12" s="7" t="s">
        <v>41</v>
      </c>
      <c r="G12" s="11" t="s">
        <v>41</v>
      </c>
      <c r="H12" s="11" t="s">
        <v>41</v>
      </c>
      <c r="I12" s="7">
        <v>960</v>
      </c>
      <c r="J12" s="7" t="s">
        <v>42</v>
      </c>
      <c r="K12" s="7" t="s">
        <v>41</v>
      </c>
      <c r="L12" s="7"/>
      <c r="M12" s="7"/>
      <c r="N12" s="10">
        <v>232</v>
      </c>
      <c r="O12" s="10"/>
      <c r="P12" s="7"/>
    </row>
    <row r="13" spans="1:16">
      <c r="A13" s="25">
        <v>7</v>
      </c>
      <c r="B13" s="22" t="s">
        <v>43</v>
      </c>
      <c r="C13" s="11" t="s">
        <v>44</v>
      </c>
      <c r="D13" s="10">
        <v>2175</v>
      </c>
      <c r="E13" s="11" t="s">
        <v>45</v>
      </c>
      <c r="F13" s="13" t="s">
        <v>46</v>
      </c>
      <c r="G13" s="12">
        <v>40841</v>
      </c>
      <c r="H13" s="12">
        <v>42059</v>
      </c>
      <c r="I13" s="7">
        <v>960</v>
      </c>
      <c r="J13" s="7" t="s">
        <v>47</v>
      </c>
      <c r="K13" s="7">
        <v>3</v>
      </c>
      <c r="L13" s="7"/>
      <c r="M13" s="7"/>
      <c r="N13" s="10">
        <v>435</v>
      </c>
      <c r="O13" s="10"/>
      <c r="P13" s="7"/>
    </row>
    <row r="14" spans="1:16">
      <c r="A14" s="25">
        <v>8</v>
      </c>
      <c r="B14" s="22" t="s">
        <v>48</v>
      </c>
      <c r="C14" s="11" t="s">
        <v>39</v>
      </c>
      <c r="D14" s="10">
        <v>4000</v>
      </c>
      <c r="E14" s="11" t="s">
        <v>49</v>
      </c>
      <c r="F14" s="11" t="s">
        <v>50</v>
      </c>
      <c r="G14" s="11" t="s">
        <v>145</v>
      </c>
      <c r="H14" s="11" t="s">
        <v>146</v>
      </c>
      <c r="I14" s="7">
        <v>960</v>
      </c>
      <c r="J14" s="11" t="s">
        <v>50</v>
      </c>
      <c r="K14" s="7"/>
      <c r="L14" s="7"/>
      <c r="M14" s="7"/>
      <c r="N14" s="10">
        <v>4000</v>
      </c>
      <c r="O14" s="10"/>
      <c r="P14" s="7"/>
    </row>
    <row r="15" spans="1:16" ht="31.5">
      <c r="A15" s="25">
        <v>9</v>
      </c>
      <c r="B15" s="22" t="s">
        <v>51</v>
      </c>
      <c r="C15" s="11" t="s">
        <v>44</v>
      </c>
      <c r="D15" s="10">
        <f>630+185</f>
        <v>815</v>
      </c>
      <c r="E15" s="11" t="s">
        <v>52</v>
      </c>
      <c r="F15" s="11" t="s">
        <v>53</v>
      </c>
      <c r="G15" s="12">
        <v>40025</v>
      </c>
      <c r="H15" s="12">
        <v>42215</v>
      </c>
      <c r="I15" s="7">
        <v>960</v>
      </c>
      <c r="J15" s="9" t="s">
        <v>54</v>
      </c>
      <c r="K15" s="7">
        <v>261</v>
      </c>
      <c r="L15" s="7"/>
      <c r="M15" s="7"/>
      <c r="N15" s="10">
        <f>630+185</f>
        <v>815</v>
      </c>
      <c r="O15" s="10"/>
      <c r="P15" s="7"/>
    </row>
    <row r="16" spans="1:16" ht="31.5">
      <c r="A16" s="25">
        <v>10</v>
      </c>
      <c r="B16" s="22" t="s">
        <v>55</v>
      </c>
      <c r="C16" s="11" t="s">
        <v>39</v>
      </c>
      <c r="D16" s="10">
        <v>2515</v>
      </c>
      <c r="E16" s="11" t="s">
        <v>56</v>
      </c>
      <c r="F16" s="11" t="s">
        <v>57</v>
      </c>
      <c r="G16" s="12">
        <v>40674</v>
      </c>
      <c r="H16" s="12">
        <v>41131</v>
      </c>
      <c r="I16" s="7">
        <v>960</v>
      </c>
      <c r="J16" s="9" t="s">
        <v>58</v>
      </c>
      <c r="K16" s="7">
        <v>475</v>
      </c>
      <c r="L16" s="7"/>
      <c r="M16" s="7"/>
      <c r="N16" s="10">
        <f>582+(582*0.1*1.16)</f>
        <v>649.51199999999994</v>
      </c>
      <c r="O16" s="10"/>
      <c r="P16" s="7"/>
    </row>
    <row r="17" spans="1:16" ht="99" customHeight="1">
      <c r="A17" s="25">
        <v>11</v>
      </c>
      <c r="B17" s="20" t="s">
        <v>138</v>
      </c>
      <c r="C17" s="7" t="s">
        <v>39</v>
      </c>
      <c r="D17" s="10">
        <f>41+181</f>
        <v>222</v>
      </c>
      <c r="E17" s="11" t="s">
        <v>59</v>
      </c>
      <c r="F17" s="7" t="s">
        <v>60</v>
      </c>
      <c r="G17" s="12">
        <v>40601</v>
      </c>
      <c r="H17" s="11">
        <f>G17+365</f>
        <v>40966</v>
      </c>
      <c r="I17" s="7">
        <v>960</v>
      </c>
      <c r="J17" s="7" t="s">
        <v>61</v>
      </c>
      <c r="K17" s="7">
        <v>5</v>
      </c>
      <c r="L17" s="7"/>
      <c r="M17" s="7"/>
      <c r="N17" s="10">
        <v>41</v>
      </c>
      <c r="O17" s="10"/>
      <c r="P17" s="7"/>
    </row>
    <row r="18" spans="1:16" ht="121.5" customHeight="1">
      <c r="A18" s="34">
        <v>12</v>
      </c>
      <c r="B18" s="30" t="s">
        <v>138</v>
      </c>
      <c r="C18" s="31" t="s">
        <v>39</v>
      </c>
      <c r="D18" s="35">
        <f>41+181</f>
        <v>222</v>
      </c>
      <c r="E18" s="37" t="s">
        <v>59</v>
      </c>
      <c r="F18" s="31" t="s">
        <v>147</v>
      </c>
      <c r="G18" s="36">
        <v>40966</v>
      </c>
      <c r="H18" s="37">
        <f>G18+365</f>
        <v>41331</v>
      </c>
      <c r="I18" s="31">
        <v>960</v>
      </c>
      <c r="J18" s="31" t="s">
        <v>61</v>
      </c>
      <c r="K18" s="31">
        <v>22</v>
      </c>
      <c r="L18" s="31"/>
      <c r="M18" s="31"/>
      <c r="N18" s="35">
        <v>181</v>
      </c>
      <c r="O18" s="35"/>
      <c r="P18" s="31"/>
    </row>
    <row r="19" spans="1:16" ht="50.25" customHeight="1">
      <c r="A19" s="530">
        <v>13</v>
      </c>
      <c r="B19" s="531" t="s">
        <v>131</v>
      </c>
      <c r="C19" s="534" t="s">
        <v>39</v>
      </c>
      <c r="D19" s="535">
        <v>18590</v>
      </c>
      <c r="E19" s="46" t="s">
        <v>73</v>
      </c>
      <c r="F19" s="46" t="s">
        <v>74</v>
      </c>
      <c r="G19" s="47">
        <v>40909</v>
      </c>
      <c r="H19" s="47">
        <v>41274</v>
      </c>
      <c r="I19" s="45">
        <v>970</v>
      </c>
      <c r="J19" s="46" t="s">
        <v>75</v>
      </c>
      <c r="K19" s="534">
        <v>1</v>
      </c>
      <c r="L19" s="534"/>
      <c r="M19" s="538"/>
      <c r="N19" s="535">
        <v>18590</v>
      </c>
      <c r="O19" s="534"/>
      <c r="P19" s="538">
        <v>1</v>
      </c>
    </row>
    <row r="20" spans="1:16" ht="45" customHeight="1">
      <c r="A20" s="530"/>
      <c r="B20" s="532"/>
      <c r="C20" s="534"/>
      <c r="D20" s="536"/>
      <c r="E20" s="46" t="s">
        <v>76</v>
      </c>
      <c r="F20" s="46" t="s">
        <v>77</v>
      </c>
      <c r="G20" s="47">
        <v>40909</v>
      </c>
      <c r="H20" s="47">
        <v>41274</v>
      </c>
      <c r="I20" s="45">
        <v>970</v>
      </c>
      <c r="J20" s="46" t="s">
        <v>75</v>
      </c>
      <c r="K20" s="534"/>
      <c r="L20" s="534"/>
      <c r="M20" s="538"/>
      <c r="N20" s="536"/>
      <c r="O20" s="534"/>
      <c r="P20" s="538"/>
    </row>
    <row r="21" spans="1:16" ht="112.5" customHeight="1">
      <c r="A21" s="530"/>
      <c r="B21" s="532"/>
      <c r="C21" s="534"/>
      <c r="D21" s="536"/>
      <c r="E21" s="46" t="s">
        <v>78</v>
      </c>
      <c r="F21" s="46" t="s">
        <v>79</v>
      </c>
      <c r="G21" s="47">
        <v>40849</v>
      </c>
      <c r="H21" s="47">
        <v>41214</v>
      </c>
      <c r="I21" s="45">
        <v>970</v>
      </c>
      <c r="J21" s="46" t="s">
        <v>75</v>
      </c>
      <c r="K21" s="534"/>
      <c r="L21" s="534"/>
      <c r="M21" s="538"/>
      <c r="N21" s="536"/>
      <c r="O21" s="534"/>
      <c r="P21" s="538"/>
    </row>
    <row r="22" spans="1:16" ht="112.5" customHeight="1">
      <c r="A22" s="530"/>
      <c r="B22" s="532"/>
      <c r="C22" s="534"/>
      <c r="D22" s="536"/>
      <c r="E22" s="46" t="s">
        <v>80</v>
      </c>
      <c r="F22" s="46" t="s">
        <v>81</v>
      </c>
      <c r="G22" s="47">
        <v>40844</v>
      </c>
      <c r="H22" s="47">
        <v>41210</v>
      </c>
      <c r="I22" s="45">
        <v>970</v>
      </c>
      <c r="J22" s="46" t="s">
        <v>75</v>
      </c>
      <c r="K22" s="534"/>
      <c r="L22" s="534"/>
      <c r="M22" s="538"/>
      <c r="N22" s="536"/>
      <c r="O22" s="534"/>
      <c r="P22" s="538"/>
    </row>
    <row r="23" spans="1:16" ht="54" customHeight="1">
      <c r="A23" s="530"/>
      <c r="B23" s="532"/>
      <c r="C23" s="534"/>
      <c r="D23" s="536"/>
      <c r="E23" s="46" t="s">
        <v>82</v>
      </c>
      <c r="F23" s="46" t="s">
        <v>83</v>
      </c>
      <c r="G23" s="47">
        <v>40494</v>
      </c>
      <c r="H23" s="47">
        <v>40950</v>
      </c>
      <c r="I23" s="45">
        <v>970</v>
      </c>
      <c r="J23" s="46" t="s">
        <v>75</v>
      </c>
      <c r="K23" s="534"/>
      <c r="L23" s="534"/>
      <c r="M23" s="538"/>
      <c r="N23" s="536"/>
      <c r="O23" s="534"/>
      <c r="P23" s="538"/>
    </row>
    <row r="24" spans="1:16" ht="64.5" customHeight="1">
      <c r="A24" s="530"/>
      <c r="B24" s="532"/>
      <c r="C24" s="534"/>
      <c r="D24" s="536"/>
      <c r="E24" s="46" t="s">
        <v>84</v>
      </c>
      <c r="F24" s="46" t="s">
        <v>85</v>
      </c>
      <c r="G24" s="47">
        <v>40516</v>
      </c>
      <c r="H24" s="47">
        <v>41247</v>
      </c>
      <c r="I24" s="45">
        <v>970</v>
      </c>
      <c r="J24" s="46" t="s">
        <v>75</v>
      </c>
      <c r="K24" s="534"/>
      <c r="L24" s="534"/>
      <c r="M24" s="538"/>
      <c r="N24" s="536"/>
      <c r="O24" s="534"/>
      <c r="P24" s="538"/>
    </row>
    <row r="25" spans="1:16" ht="129" customHeight="1">
      <c r="A25" s="530"/>
      <c r="B25" s="532"/>
      <c r="C25" s="534"/>
      <c r="D25" s="536"/>
      <c r="E25" s="46" t="s">
        <v>86</v>
      </c>
      <c r="F25" s="46" t="s">
        <v>87</v>
      </c>
      <c r="G25" s="47">
        <v>40648</v>
      </c>
      <c r="H25" s="47">
        <v>41197</v>
      </c>
      <c r="I25" s="45">
        <v>970</v>
      </c>
      <c r="J25" s="46" t="s">
        <v>75</v>
      </c>
      <c r="K25" s="534"/>
      <c r="L25" s="534"/>
      <c r="M25" s="538"/>
      <c r="N25" s="536"/>
      <c r="O25" s="534"/>
      <c r="P25" s="538"/>
    </row>
    <row r="26" spans="1:16" ht="81.75" customHeight="1">
      <c r="A26" s="530"/>
      <c r="B26" s="532"/>
      <c r="C26" s="534"/>
      <c r="D26" s="536"/>
      <c r="E26" s="46" t="s">
        <v>88</v>
      </c>
      <c r="F26" s="46" t="s">
        <v>89</v>
      </c>
      <c r="G26" s="47">
        <v>40709</v>
      </c>
      <c r="H26" s="47">
        <v>41075</v>
      </c>
      <c r="I26" s="45">
        <v>970</v>
      </c>
      <c r="J26" s="46" t="s">
        <v>75</v>
      </c>
      <c r="K26" s="534"/>
      <c r="L26" s="534"/>
      <c r="M26" s="538"/>
      <c r="N26" s="536"/>
      <c r="O26" s="534"/>
      <c r="P26" s="538"/>
    </row>
    <row r="27" spans="1:16" ht="63.75" customHeight="1">
      <c r="A27" s="530"/>
      <c r="B27" s="532"/>
      <c r="C27" s="534"/>
      <c r="D27" s="536"/>
      <c r="E27" s="46" t="s">
        <v>90</v>
      </c>
      <c r="F27" s="46" t="s">
        <v>91</v>
      </c>
      <c r="G27" s="47">
        <v>40912</v>
      </c>
      <c r="H27" s="47">
        <v>41277</v>
      </c>
      <c r="I27" s="45">
        <v>970</v>
      </c>
      <c r="J27" s="46" t="s">
        <v>75</v>
      </c>
      <c r="K27" s="534"/>
      <c r="L27" s="534"/>
      <c r="M27" s="538"/>
      <c r="N27" s="536"/>
      <c r="O27" s="534"/>
      <c r="P27" s="538"/>
    </row>
    <row r="28" spans="1:16" ht="69" customHeight="1">
      <c r="A28" s="530"/>
      <c r="B28" s="532"/>
      <c r="C28" s="534"/>
      <c r="D28" s="536"/>
      <c r="E28" s="46" t="s">
        <v>149</v>
      </c>
      <c r="F28" s="46" t="s">
        <v>92</v>
      </c>
      <c r="G28" s="47">
        <v>40826</v>
      </c>
      <c r="H28" s="47">
        <v>41192</v>
      </c>
      <c r="I28" s="45">
        <v>970</v>
      </c>
      <c r="J28" s="46" t="s">
        <v>75</v>
      </c>
      <c r="K28" s="534"/>
      <c r="L28" s="534"/>
      <c r="M28" s="538"/>
      <c r="N28" s="536"/>
      <c r="O28" s="534"/>
      <c r="P28" s="538"/>
    </row>
    <row r="29" spans="1:16" ht="50.25" customHeight="1">
      <c r="A29" s="530"/>
      <c r="B29" s="532"/>
      <c r="C29" s="534"/>
      <c r="D29" s="536"/>
      <c r="E29" s="46" t="s">
        <v>93</v>
      </c>
      <c r="F29" s="46" t="s">
        <v>94</v>
      </c>
      <c r="G29" s="47">
        <v>40878</v>
      </c>
      <c r="H29" s="47">
        <v>40923</v>
      </c>
      <c r="I29" s="45">
        <v>970</v>
      </c>
      <c r="J29" s="46" t="s">
        <v>75</v>
      </c>
      <c r="K29" s="534"/>
      <c r="L29" s="534"/>
      <c r="M29" s="538"/>
      <c r="N29" s="536"/>
      <c r="O29" s="534"/>
      <c r="P29" s="538"/>
    </row>
    <row r="30" spans="1:16" ht="47.25" customHeight="1">
      <c r="A30" s="530"/>
      <c r="B30" s="532"/>
      <c r="C30" s="534"/>
      <c r="D30" s="536"/>
      <c r="E30" s="46" t="s">
        <v>95</v>
      </c>
      <c r="F30" s="46" t="s">
        <v>96</v>
      </c>
      <c r="G30" s="47">
        <v>40870</v>
      </c>
      <c r="H30" s="47">
        <v>40983</v>
      </c>
      <c r="I30" s="45">
        <v>970</v>
      </c>
      <c r="J30" s="46" t="s">
        <v>75</v>
      </c>
      <c r="K30" s="534"/>
      <c r="L30" s="534"/>
      <c r="M30" s="538"/>
      <c r="N30" s="536"/>
      <c r="O30" s="534"/>
      <c r="P30" s="538"/>
    </row>
    <row r="31" spans="1:16" ht="44.25" customHeight="1">
      <c r="A31" s="530"/>
      <c r="B31" s="532"/>
      <c r="C31" s="534"/>
      <c r="D31" s="536"/>
      <c r="E31" s="46" t="s">
        <v>97</v>
      </c>
      <c r="F31" s="46" t="s">
        <v>98</v>
      </c>
      <c r="G31" s="47">
        <v>40817</v>
      </c>
      <c r="H31" s="47">
        <v>41252</v>
      </c>
      <c r="I31" s="45">
        <v>970</v>
      </c>
      <c r="J31" s="46" t="s">
        <v>75</v>
      </c>
      <c r="K31" s="534"/>
      <c r="L31" s="534"/>
      <c r="M31" s="538"/>
      <c r="N31" s="536"/>
      <c r="O31" s="534"/>
      <c r="P31" s="538"/>
    </row>
    <row r="32" spans="1:16" ht="46.5" customHeight="1">
      <c r="A32" s="530"/>
      <c r="B32" s="532"/>
      <c r="C32" s="534"/>
      <c r="D32" s="536"/>
      <c r="E32" s="46" t="s">
        <v>99</v>
      </c>
      <c r="F32" s="46" t="s">
        <v>100</v>
      </c>
      <c r="G32" s="47">
        <v>40892</v>
      </c>
      <c r="H32" s="47">
        <v>40937</v>
      </c>
      <c r="I32" s="45">
        <v>970</v>
      </c>
      <c r="J32" s="46" t="s">
        <v>75</v>
      </c>
      <c r="K32" s="534"/>
      <c r="L32" s="534"/>
      <c r="M32" s="538"/>
      <c r="N32" s="536"/>
      <c r="O32" s="534"/>
      <c r="P32" s="538"/>
    </row>
    <row r="33" spans="1:16" ht="39" customHeight="1">
      <c r="A33" s="530"/>
      <c r="B33" s="532"/>
      <c r="C33" s="534"/>
      <c r="D33" s="536"/>
      <c r="E33" s="46" t="s">
        <v>101</v>
      </c>
      <c r="F33" s="46" t="s">
        <v>102</v>
      </c>
      <c r="G33" s="47">
        <v>40909</v>
      </c>
      <c r="H33" s="47">
        <v>41213</v>
      </c>
      <c r="I33" s="45">
        <v>970</v>
      </c>
      <c r="J33" s="46" t="s">
        <v>75</v>
      </c>
      <c r="K33" s="534"/>
      <c r="L33" s="534"/>
      <c r="M33" s="538"/>
      <c r="N33" s="536"/>
      <c r="O33" s="534"/>
      <c r="P33" s="538"/>
    </row>
    <row r="34" spans="1:16" ht="37.5" customHeight="1">
      <c r="A34" s="530"/>
      <c r="B34" s="532"/>
      <c r="C34" s="534"/>
      <c r="D34" s="536"/>
      <c r="E34" s="46" t="s">
        <v>103</v>
      </c>
      <c r="F34" s="46" t="s">
        <v>104</v>
      </c>
      <c r="G34" s="47">
        <v>40909</v>
      </c>
      <c r="H34" s="47">
        <v>41213</v>
      </c>
      <c r="I34" s="45">
        <v>970</v>
      </c>
      <c r="J34" s="46" t="s">
        <v>75</v>
      </c>
      <c r="K34" s="534"/>
      <c r="L34" s="534"/>
      <c r="M34" s="538"/>
      <c r="N34" s="536"/>
      <c r="O34" s="534"/>
      <c r="P34" s="538"/>
    </row>
    <row r="35" spans="1:16" ht="54" customHeight="1">
      <c r="A35" s="530"/>
      <c r="B35" s="532"/>
      <c r="C35" s="534"/>
      <c r="D35" s="536"/>
      <c r="E35" s="46" t="s">
        <v>105</v>
      </c>
      <c r="F35" s="46" t="s">
        <v>106</v>
      </c>
      <c r="G35" s="47">
        <v>40909</v>
      </c>
      <c r="H35" s="47">
        <v>41213</v>
      </c>
      <c r="I35" s="45">
        <v>970</v>
      </c>
      <c r="J35" s="46" t="s">
        <v>75</v>
      </c>
      <c r="K35" s="534"/>
      <c r="L35" s="534"/>
      <c r="M35" s="538"/>
      <c r="N35" s="536"/>
      <c r="O35" s="534"/>
      <c r="P35" s="538"/>
    </row>
    <row r="36" spans="1:16" ht="39" customHeight="1">
      <c r="A36" s="530"/>
      <c r="B36" s="532"/>
      <c r="C36" s="534"/>
      <c r="D36" s="536"/>
      <c r="E36" s="46" t="s">
        <v>107</v>
      </c>
      <c r="F36" s="46" t="s">
        <v>108</v>
      </c>
      <c r="G36" s="47">
        <v>40909</v>
      </c>
      <c r="H36" s="47">
        <v>41213</v>
      </c>
      <c r="I36" s="45">
        <v>970</v>
      </c>
      <c r="J36" s="46" t="s">
        <v>75</v>
      </c>
      <c r="K36" s="534"/>
      <c r="L36" s="534"/>
      <c r="M36" s="538"/>
      <c r="N36" s="536"/>
      <c r="O36" s="534"/>
      <c r="P36" s="538"/>
    </row>
    <row r="37" spans="1:16" ht="50.25" customHeight="1">
      <c r="A37" s="530"/>
      <c r="B37" s="532"/>
      <c r="C37" s="534"/>
      <c r="D37" s="536"/>
      <c r="E37" s="46" t="s">
        <v>109</v>
      </c>
      <c r="F37" s="46" t="s">
        <v>110</v>
      </c>
      <c r="G37" s="47">
        <v>40909</v>
      </c>
      <c r="H37" s="47">
        <v>41213</v>
      </c>
      <c r="I37" s="45">
        <v>970</v>
      </c>
      <c r="J37" s="46" t="s">
        <v>75</v>
      </c>
      <c r="K37" s="534"/>
      <c r="L37" s="534"/>
      <c r="M37" s="538"/>
      <c r="N37" s="536"/>
      <c r="O37" s="534"/>
      <c r="P37" s="538"/>
    </row>
    <row r="38" spans="1:16" ht="99.75" customHeight="1">
      <c r="A38" s="530"/>
      <c r="B38" s="532"/>
      <c r="C38" s="534"/>
      <c r="D38" s="536"/>
      <c r="E38" s="46" t="s">
        <v>111</v>
      </c>
      <c r="F38" s="46" t="s">
        <v>112</v>
      </c>
      <c r="G38" s="47">
        <v>40664</v>
      </c>
      <c r="H38" s="47">
        <v>41047</v>
      </c>
      <c r="I38" s="45">
        <v>970</v>
      </c>
      <c r="J38" s="46" t="s">
        <v>75</v>
      </c>
      <c r="K38" s="534"/>
      <c r="L38" s="534"/>
      <c r="M38" s="538"/>
      <c r="N38" s="536"/>
      <c r="O38" s="534"/>
      <c r="P38" s="538"/>
    </row>
    <row r="39" spans="1:16" ht="106.5" customHeight="1">
      <c r="A39" s="530"/>
      <c r="B39" s="532"/>
      <c r="C39" s="534"/>
      <c r="D39" s="536"/>
      <c r="E39" s="46" t="s">
        <v>111</v>
      </c>
      <c r="F39" s="46" t="s">
        <v>113</v>
      </c>
      <c r="G39" s="47">
        <v>40664</v>
      </c>
      <c r="H39" s="47">
        <v>41047</v>
      </c>
      <c r="I39" s="45">
        <v>970</v>
      </c>
      <c r="J39" s="46" t="s">
        <v>75</v>
      </c>
      <c r="K39" s="534"/>
      <c r="L39" s="534"/>
      <c r="M39" s="538"/>
      <c r="N39" s="536"/>
      <c r="O39" s="534"/>
      <c r="P39" s="538"/>
    </row>
    <row r="40" spans="1:16" ht="106.5" customHeight="1">
      <c r="A40" s="530"/>
      <c r="B40" s="532"/>
      <c r="C40" s="534"/>
      <c r="D40" s="536"/>
      <c r="E40" s="46" t="s">
        <v>111</v>
      </c>
      <c r="F40" s="46" t="s">
        <v>114</v>
      </c>
      <c r="G40" s="47">
        <v>40664</v>
      </c>
      <c r="H40" s="47">
        <v>41047</v>
      </c>
      <c r="I40" s="46">
        <v>970</v>
      </c>
      <c r="J40" s="46" t="s">
        <v>75</v>
      </c>
      <c r="K40" s="534"/>
      <c r="L40" s="534"/>
      <c r="M40" s="538"/>
      <c r="N40" s="536"/>
      <c r="O40" s="534"/>
      <c r="P40" s="538"/>
    </row>
    <row r="41" spans="1:16" ht="91.5" customHeight="1">
      <c r="A41" s="530"/>
      <c r="B41" s="532"/>
      <c r="C41" s="534"/>
      <c r="D41" s="536"/>
      <c r="E41" s="46" t="s">
        <v>115</v>
      </c>
      <c r="F41" s="46" t="s">
        <v>116</v>
      </c>
      <c r="G41" s="49" t="s">
        <v>150</v>
      </c>
      <c r="H41" s="46" t="s">
        <v>151</v>
      </c>
      <c r="I41" s="46">
        <v>970</v>
      </c>
      <c r="J41" s="46" t="s">
        <v>75</v>
      </c>
      <c r="K41" s="534"/>
      <c r="L41" s="534"/>
      <c r="M41" s="538"/>
      <c r="N41" s="536"/>
      <c r="O41" s="534"/>
      <c r="P41" s="538"/>
    </row>
    <row r="42" spans="1:16" ht="57.75" customHeight="1">
      <c r="A42" s="530"/>
      <c r="B42" s="532"/>
      <c r="C42" s="534"/>
      <c r="D42" s="536"/>
      <c r="E42" s="46" t="s">
        <v>117</v>
      </c>
      <c r="F42" s="46" t="s">
        <v>118</v>
      </c>
      <c r="G42" s="49" t="s">
        <v>152</v>
      </c>
      <c r="H42" s="46" t="s">
        <v>153</v>
      </c>
      <c r="I42" s="46">
        <v>970</v>
      </c>
      <c r="J42" s="46" t="s">
        <v>75</v>
      </c>
      <c r="K42" s="534"/>
      <c r="L42" s="534"/>
      <c r="M42" s="538"/>
      <c r="N42" s="536"/>
      <c r="O42" s="534"/>
      <c r="P42" s="538"/>
    </row>
    <row r="43" spans="1:16" ht="48.75" customHeight="1">
      <c r="A43" s="530"/>
      <c r="B43" s="532"/>
      <c r="C43" s="534"/>
      <c r="D43" s="536"/>
      <c r="E43" s="46" t="s">
        <v>119</v>
      </c>
      <c r="F43" s="46" t="s">
        <v>120</v>
      </c>
      <c r="G43" s="49" t="s">
        <v>154</v>
      </c>
      <c r="H43" s="46" t="s">
        <v>155</v>
      </c>
      <c r="I43" s="46">
        <v>970</v>
      </c>
      <c r="J43" s="46" t="s">
        <v>75</v>
      </c>
      <c r="K43" s="534"/>
      <c r="L43" s="534"/>
      <c r="M43" s="538"/>
      <c r="N43" s="536"/>
      <c r="O43" s="534"/>
      <c r="P43" s="538"/>
    </row>
    <row r="44" spans="1:16" ht="165.75" customHeight="1">
      <c r="A44" s="530"/>
      <c r="B44" s="532"/>
      <c r="C44" s="534"/>
      <c r="D44" s="536"/>
      <c r="E44" s="46" t="s">
        <v>121</v>
      </c>
      <c r="F44" s="46" t="s">
        <v>122</v>
      </c>
      <c r="G44" s="49" t="s">
        <v>156</v>
      </c>
      <c r="H44" s="46" t="s">
        <v>151</v>
      </c>
      <c r="I44" s="46">
        <v>970</v>
      </c>
      <c r="J44" s="46" t="s">
        <v>75</v>
      </c>
      <c r="K44" s="534"/>
      <c r="L44" s="534"/>
      <c r="M44" s="538"/>
      <c r="N44" s="536"/>
      <c r="O44" s="534"/>
      <c r="P44" s="538"/>
    </row>
    <row r="45" spans="1:16" ht="44.25" customHeight="1">
      <c r="A45" s="530"/>
      <c r="B45" s="532"/>
      <c r="C45" s="534"/>
      <c r="D45" s="536"/>
      <c r="E45" s="46" t="s">
        <v>123</v>
      </c>
      <c r="F45" s="46" t="s">
        <v>124</v>
      </c>
      <c r="G45" s="49" t="s">
        <v>157</v>
      </c>
      <c r="H45" s="46" t="s">
        <v>158</v>
      </c>
      <c r="I45" s="46">
        <v>970</v>
      </c>
      <c r="J45" s="46" t="s">
        <v>75</v>
      </c>
      <c r="K45" s="534"/>
      <c r="L45" s="534"/>
      <c r="M45" s="538"/>
      <c r="N45" s="536"/>
      <c r="O45" s="534"/>
      <c r="P45" s="538"/>
    </row>
    <row r="46" spans="1:16" ht="42" customHeight="1">
      <c r="A46" s="530"/>
      <c r="B46" s="532"/>
      <c r="C46" s="534"/>
      <c r="D46" s="536"/>
      <c r="E46" s="46" t="s">
        <v>125</v>
      </c>
      <c r="F46" s="46" t="s">
        <v>126</v>
      </c>
      <c r="G46" s="49" t="s">
        <v>159</v>
      </c>
      <c r="H46" s="46" t="s">
        <v>158</v>
      </c>
      <c r="I46" s="46">
        <v>970</v>
      </c>
      <c r="J46" s="46" t="s">
        <v>75</v>
      </c>
      <c r="K46" s="534"/>
      <c r="L46" s="534"/>
      <c r="M46" s="538"/>
      <c r="N46" s="536"/>
      <c r="O46" s="534"/>
      <c r="P46" s="538"/>
    </row>
    <row r="47" spans="1:16" ht="156.75" customHeight="1">
      <c r="A47" s="530"/>
      <c r="B47" s="533"/>
      <c r="C47" s="534"/>
      <c r="D47" s="537"/>
      <c r="E47" s="48" t="s">
        <v>127</v>
      </c>
      <c r="F47" s="48" t="s">
        <v>128</v>
      </c>
      <c r="G47" s="47">
        <v>40909</v>
      </c>
      <c r="H47" s="47">
        <v>41274</v>
      </c>
      <c r="I47" s="45">
        <v>970</v>
      </c>
      <c r="J47" s="46" t="s">
        <v>75</v>
      </c>
      <c r="K47" s="534"/>
      <c r="L47" s="534"/>
      <c r="M47" s="538"/>
      <c r="N47" s="536"/>
      <c r="O47" s="534"/>
      <c r="P47" s="538"/>
    </row>
    <row r="48" spans="1:16" ht="250.5" customHeight="1">
      <c r="A48" s="38">
        <v>14</v>
      </c>
      <c r="B48" s="27" t="s">
        <v>132</v>
      </c>
      <c r="C48" s="32" t="s">
        <v>26</v>
      </c>
      <c r="D48" s="39">
        <v>18</v>
      </c>
      <c r="E48" s="50" t="s">
        <v>27</v>
      </c>
      <c r="F48" s="32" t="s">
        <v>147</v>
      </c>
      <c r="G48" s="40" t="s">
        <v>147</v>
      </c>
      <c r="H48" s="32" t="s">
        <v>147</v>
      </c>
      <c r="I48" s="32">
        <v>980</v>
      </c>
      <c r="J48" s="41" t="s">
        <v>28</v>
      </c>
      <c r="K48" s="33">
        <v>1</v>
      </c>
      <c r="L48" s="32"/>
      <c r="M48" s="32"/>
      <c r="N48" s="42">
        <v>18</v>
      </c>
      <c r="O48" s="32"/>
      <c r="P48" s="32"/>
    </row>
    <row r="49" spans="1:16" ht="210.75" customHeight="1">
      <c r="A49" s="25">
        <v>15</v>
      </c>
      <c r="B49" s="20" t="s">
        <v>133</v>
      </c>
      <c r="C49" s="7" t="s">
        <v>26</v>
      </c>
      <c r="D49" s="10">
        <v>400</v>
      </c>
      <c r="E49" s="46" t="s">
        <v>27</v>
      </c>
      <c r="F49" s="7" t="s">
        <v>147</v>
      </c>
      <c r="G49" s="29" t="s">
        <v>147</v>
      </c>
      <c r="H49" s="29" t="s">
        <v>147</v>
      </c>
      <c r="I49" s="7">
        <v>980</v>
      </c>
      <c r="J49" s="8" t="s">
        <v>28</v>
      </c>
      <c r="K49" s="14">
        <v>1</v>
      </c>
      <c r="L49" s="7"/>
      <c r="M49" s="7"/>
      <c r="N49" s="6">
        <v>400</v>
      </c>
      <c r="O49" s="7"/>
      <c r="P49" s="7"/>
    </row>
    <row r="50" spans="1:16" ht="236.25" customHeight="1">
      <c r="A50" s="2">
        <v>16</v>
      </c>
      <c r="B50" s="20" t="s">
        <v>134</v>
      </c>
      <c r="C50" s="7" t="s">
        <v>26</v>
      </c>
      <c r="D50" s="10">
        <f>12+24.4</f>
        <v>36.4</v>
      </c>
      <c r="E50" s="46" t="s">
        <v>27</v>
      </c>
      <c r="F50" s="7" t="s">
        <v>147</v>
      </c>
      <c r="G50" s="29" t="s">
        <v>147</v>
      </c>
      <c r="H50" s="29" t="s">
        <v>147</v>
      </c>
      <c r="I50" s="7">
        <v>980</v>
      </c>
      <c r="J50" s="8" t="s">
        <v>28</v>
      </c>
      <c r="K50" s="14">
        <v>1</v>
      </c>
      <c r="L50" s="7"/>
      <c r="M50" s="7"/>
      <c r="N50" s="6">
        <f>12+24.4</f>
        <v>36.4</v>
      </c>
      <c r="O50" s="7"/>
      <c r="P50" s="7"/>
    </row>
    <row r="51" spans="1:16" ht="324.75" customHeight="1">
      <c r="A51" s="25">
        <v>17</v>
      </c>
      <c r="B51" s="20" t="s">
        <v>135</v>
      </c>
      <c r="C51" s="7" t="s">
        <v>26</v>
      </c>
      <c r="D51" s="10">
        <v>69</v>
      </c>
      <c r="E51" s="46" t="s">
        <v>29</v>
      </c>
      <c r="F51" s="7" t="s">
        <v>30</v>
      </c>
      <c r="G51" s="11" t="s">
        <v>31</v>
      </c>
      <c r="H51" s="11" t="s">
        <v>32</v>
      </c>
      <c r="I51" s="7">
        <v>980</v>
      </c>
      <c r="J51" s="8" t="s">
        <v>28</v>
      </c>
      <c r="K51" s="14">
        <v>1</v>
      </c>
      <c r="L51" s="7"/>
      <c r="M51" s="7"/>
      <c r="N51" s="6">
        <v>69</v>
      </c>
      <c r="O51" s="7"/>
      <c r="P51" s="7"/>
    </row>
    <row r="52" spans="1:16" ht="159.75" customHeight="1">
      <c r="A52" s="25">
        <v>18</v>
      </c>
      <c r="B52" s="20" t="s">
        <v>136</v>
      </c>
      <c r="C52" s="7" t="s">
        <v>26</v>
      </c>
      <c r="D52" s="10">
        <v>18</v>
      </c>
      <c r="E52" s="46" t="s">
        <v>27</v>
      </c>
      <c r="F52" s="7" t="s">
        <v>147</v>
      </c>
      <c r="G52" s="29" t="s">
        <v>147</v>
      </c>
      <c r="H52" s="29" t="s">
        <v>147</v>
      </c>
      <c r="I52" s="7">
        <v>980</v>
      </c>
      <c r="J52" s="8" t="s">
        <v>28</v>
      </c>
      <c r="K52" s="14">
        <v>1</v>
      </c>
      <c r="L52" s="7"/>
      <c r="M52" s="7"/>
      <c r="N52" s="6">
        <v>18</v>
      </c>
      <c r="O52" s="7"/>
      <c r="P52" s="7"/>
    </row>
    <row r="53" spans="1:16" ht="254.25" customHeight="1">
      <c r="A53" s="2">
        <v>19</v>
      </c>
      <c r="B53" s="20" t="s">
        <v>137</v>
      </c>
      <c r="C53" s="7" t="s">
        <v>26</v>
      </c>
      <c r="D53" s="10">
        <f>48+155.4</f>
        <v>203.4</v>
      </c>
      <c r="E53" s="46" t="s">
        <v>33</v>
      </c>
      <c r="F53" s="9" t="s">
        <v>34</v>
      </c>
      <c r="G53" s="9" t="s">
        <v>35</v>
      </c>
      <c r="H53" s="11" t="s">
        <v>148</v>
      </c>
      <c r="I53" s="7">
        <v>980</v>
      </c>
      <c r="J53" s="8" t="s">
        <v>28</v>
      </c>
      <c r="K53" s="14">
        <v>1</v>
      </c>
      <c r="L53" s="7"/>
      <c r="M53" s="7"/>
      <c r="N53" s="6">
        <f>48+155.4</f>
        <v>203.4</v>
      </c>
      <c r="O53" s="7"/>
      <c r="P53" s="7"/>
    </row>
    <row r="54" spans="1:16" ht="31.5">
      <c r="A54" s="25">
        <v>20</v>
      </c>
      <c r="B54" s="20" t="s">
        <v>36</v>
      </c>
      <c r="C54" s="7" t="s">
        <v>14</v>
      </c>
      <c r="D54" s="10">
        <v>28</v>
      </c>
      <c r="E54" s="46" t="s">
        <v>27</v>
      </c>
      <c r="F54" s="7" t="s">
        <v>50</v>
      </c>
      <c r="G54" s="11" t="s">
        <v>50</v>
      </c>
      <c r="H54" s="11" t="s">
        <v>50</v>
      </c>
      <c r="I54" s="7">
        <v>980</v>
      </c>
      <c r="J54" s="8" t="s">
        <v>37</v>
      </c>
      <c r="K54" s="14">
        <v>1</v>
      </c>
      <c r="L54" s="7"/>
      <c r="M54" s="7"/>
      <c r="N54" s="6">
        <v>28</v>
      </c>
      <c r="O54" s="7"/>
      <c r="P54" s="7"/>
    </row>
  </sheetData>
  <mergeCells count="24">
    <mergeCell ref="M19:M47"/>
    <mergeCell ref="N19:N47"/>
    <mergeCell ref="O19:O47"/>
    <mergeCell ref="P19:P47"/>
    <mergeCell ref="I5:I6"/>
    <mergeCell ref="J5:J6"/>
    <mergeCell ref="K5:M5"/>
    <mergeCell ref="N5:P5"/>
    <mergeCell ref="L19:L47"/>
    <mergeCell ref="A19:A47"/>
    <mergeCell ref="B19:B47"/>
    <mergeCell ref="C19:C47"/>
    <mergeCell ref="D19:D47"/>
    <mergeCell ref="K19:K47"/>
    <mergeCell ref="A1:P1"/>
    <mergeCell ref="A2:P2"/>
    <mergeCell ref="A3:P3"/>
    <mergeCell ref="A5:A6"/>
    <mergeCell ref="B5:B6"/>
    <mergeCell ref="C5:C6"/>
    <mergeCell ref="D5:D6"/>
    <mergeCell ref="E5:E6"/>
    <mergeCell ref="F5:F6"/>
    <mergeCell ref="G5:H5"/>
  </mergeCells>
  <dataValidations count="1">
    <dataValidation type="list" allowBlank="1" showInputMessage="1" showErrorMessage="1" sqref="C11">
      <formula1>$Q$1:$Q$3</formula1>
    </dataValidation>
  </dataValidation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dimension ref="A1:BB326"/>
  <sheetViews>
    <sheetView tabSelected="1" topLeftCell="A52" workbookViewId="0">
      <selection sqref="A1:XFD1048576"/>
    </sheetView>
  </sheetViews>
  <sheetFormatPr baseColWidth="10" defaultRowHeight="15"/>
  <cols>
    <col min="1" max="1" width="25.42578125" style="747" customWidth="1"/>
    <col min="2" max="2" width="11.42578125" style="747"/>
    <col min="3" max="3" width="16.85546875" style="749" customWidth="1"/>
    <col min="4" max="4" width="41.28515625" style="747" customWidth="1"/>
    <col min="5" max="5" width="22.140625" style="749" customWidth="1"/>
    <col min="6" max="6" width="15.42578125" style="750" customWidth="1"/>
    <col min="7" max="7" width="13.85546875" style="751" customWidth="1"/>
    <col min="8" max="8" width="11.42578125" style="749"/>
    <col min="9" max="9" width="17.7109375" style="747" customWidth="1"/>
    <col min="10" max="10" width="14.85546875" style="747" customWidth="1"/>
    <col min="11" max="11" width="12.140625" style="747" customWidth="1"/>
    <col min="12" max="12" width="11.42578125" style="747"/>
    <col min="13" max="13" width="18" style="747" customWidth="1"/>
    <col min="14" max="16384" width="11.42578125" style="747"/>
  </cols>
  <sheetData>
    <row r="1" spans="1:54" ht="18.75">
      <c r="A1" s="745" t="s">
        <v>923</v>
      </c>
      <c r="B1" s="746"/>
      <c r="C1" s="746"/>
      <c r="D1" s="746"/>
      <c r="E1" s="746"/>
      <c r="F1" s="746"/>
      <c r="G1" s="746"/>
      <c r="H1" s="746"/>
      <c r="I1" s="746"/>
      <c r="J1" s="746"/>
      <c r="K1" s="746"/>
      <c r="L1" s="746"/>
      <c r="M1" s="746"/>
      <c r="N1" s="746"/>
      <c r="O1" s="746"/>
    </row>
    <row r="2" spans="1:54" ht="18.75">
      <c r="A2" s="748" t="s">
        <v>924</v>
      </c>
      <c r="B2" s="746"/>
      <c r="C2" s="746"/>
      <c r="D2" s="746"/>
      <c r="E2" s="746"/>
      <c r="F2" s="746"/>
      <c r="G2" s="746"/>
      <c r="H2" s="746"/>
      <c r="I2" s="746"/>
      <c r="J2" s="746"/>
      <c r="K2" s="746"/>
      <c r="L2" s="746"/>
      <c r="M2" s="746"/>
      <c r="N2" s="746"/>
      <c r="O2" s="746"/>
    </row>
    <row r="4" spans="1:54" s="763" customFormat="1" ht="42.75" customHeight="1">
      <c r="A4" s="752" t="s">
        <v>2</v>
      </c>
      <c r="B4" s="753" t="s">
        <v>3</v>
      </c>
      <c r="C4" s="753" t="s">
        <v>240</v>
      </c>
      <c r="D4" s="754" t="s">
        <v>241</v>
      </c>
      <c r="E4" s="755" t="s">
        <v>242</v>
      </c>
      <c r="F4" s="756" t="s">
        <v>243</v>
      </c>
      <c r="G4" s="757"/>
      <c r="H4" s="758" t="s">
        <v>6</v>
      </c>
      <c r="I4" s="753" t="s">
        <v>7</v>
      </c>
      <c r="J4" s="759" t="s">
        <v>8</v>
      </c>
      <c r="K4" s="760"/>
      <c r="L4" s="761"/>
      <c r="M4" s="759" t="s">
        <v>9</v>
      </c>
      <c r="N4" s="760"/>
      <c r="O4" s="761"/>
      <c r="P4" s="762"/>
      <c r="Q4" s="762"/>
      <c r="R4" s="762"/>
      <c r="S4" s="762"/>
      <c r="T4" s="762"/>
      <c r="U4" s="762"/>
      <c r="V4" s="762"/>
      <c r="W4" s="762"/>
      <c r="X4" s="762"/>
      <c r="Y4" s="762"/>
      <c r="Z4" s="762"/>
      <c r="AA4" s="762"/>
      <c r="AB4" s="762"/>
      <c r="AC4" s="762"/>
      <c r="AD4" s="762"/>
      <c r="AE4" s="762"/>
      <c r="AF4" s="762"/>
      <c r="AG4" s="762"/>
      <c r="AH4" s="762"/>
      <c r="AI4" s="762"/>
      <c r="AJ4" s="762"/>
      <c r="AK4" s="762"/>
      <c r="AL4" s="762"/>
      <c r="AM4" s="762"/>
      <c r="AN4" s="762"/>
      <c r="AO4" s="762"/>
      <c r="AP4" s="762"/>
      <c r="AQ4" s="762"/>
      <c r="AR4" s="762"/>
      <c r="AS4" s="762"/>
      <c r="AT4" s="762"/>
      <c r="AU4" s="762"/>
      <c r="AV4" s="762"/>
      <c r="AW4" s="762"/>
      <c r="AX4" s="762"/>
      <c r="AY4" s="762"/>
      <c r="AZ4" s="762"/>
      <c r="BA4" s="762"/>
      <c r="BB4" s="762"/>
    </row>
    <row r="5" spans="1:54" s="763" customFormat="1" ht="54" customHeight="1">
      <c r="A5" s="753"/>
      <c r="B5" s="764"/>
      <c r="C5" s="764"/>
      <c r="D5" s="754" t="s">
        <v>244</v>
      </c>
      <c r="E5" s="765" t="s">
        <v>245</v>
      </c>
      <c r="F5" s="766" t="s">
        <v>246</v>
      </c>
      <c r="G5" s="766" t="s">
        <v>247</v>
      </c>
      <c r="H5" s="767"/>
      <c r="I5" s="768"/>
      <c r="J5" s="765" t="s">
        <v>248</v>
      </c>
      <c r="K5" s="769" t="s">
        <v>24</v>
      </c>
      <c r="L5" s="765" t="s">
        <v>11</v>
      </c>
      <c r="M5" s="770" t="s">
        <v>249</v>
      </c>
      <c r="N5" s="765" t="s">
        <v>24</v>
      </c>
      <c r="O5" s="765" t="s">
        <v>250</v>
      </c>
      <c r="P5" s="762"/>
      <c r="Q5" s="762"/>
      <c r="R5" s="762"/>
      <c r="S5" s="762"/>
      <c r="T5" s="762"/>
      <c r="U5" s="762"/>
      <c r="V5" s="762"/>
      <c r="W5" s="762"/>
      <c r="X5" s="762"/>
      <c r="Y5" s="762"/>
      <c r="Z5" s="762"/>
      <c r="AA5" s="762"/>
      <c r="AB5" s="762"/>
      <c r="AC5" s="762"/>
      <c r="AD5" s="762"/>
      <c r="AE5" s="762"/>
      <c r="AF5" s="762"/>
      <c r="AG5" s="762"/>
      <c r="AH5" s="762"/>
      <c r="AI5" s="762"/>
      <c r="AJ5" s="762"/>
      <c r="AK5" s="762"/>
      <c r="AL5" s="762"/>
      <c r="AM5" s="762"/>
      <c r="AN5" s="762"/>
      <c r="AO5" s="762"/>
      <c r="AP5" s="762"/>
      <c r="AQ5" s="762"/>
      <c r="AR5" s="762"/>
      <c r="AS5" s="762"/>
      <c r="AT5" s="762"/>
      <c r="AU5" s="762"/>
      <c r="AV5" s="762"/>
      <c r="AW5" s="762"/>
      <c r="AX5" s="762"/>
      <c r="AY5" s="762"/>
      <c r="AZ5" s="762"/>
      <c r="BA5" s="762"/>
      <c r="BB5" s="762"/>
    </row>
    <row r="6" spans="1:54" ht="77.25" customHeight="1">
      <c r="A6" s="771" t="s">
        <v>925</v>
      </c>
      <c r="B6" s="771" t="s">
        <v>432</v>
      </c>
      <c r="C6" s="772">
        <v>22.09</v>
      </c>
      <c r="D6" s="773" t="s">
        <v>926</v>
      </c>
      <c r="E6" s="772" t="s">
        <v>196</v>
      </c>
      <c r="F6" s="772" t="s">
        <v>196</v>
      </c>
      <c r="G6" s="772" t="s">
        <v>196</v>
      </c>
      <c r="H6" s="140">
        <v>2682</v>
      </c>
      <c r="I6" s="140" t="s">
        <v>927</v>
      </c>
      <c r="J6" s="140">
        <v>10</v>
      </c>
      <c r="K6" s="140"/>
      <c r="L6" s="140"/>
      <c r="M6" s="774">
        <v>18.409199999999998</v>
      </c>
      <c r="N6" s="140"/>
      <c r="O6" s="140"/>
    </row>
    <row r="7" spans="1:54" ht="77.25" customHeight="1">
      <c r="A7" s="771" t="s">
        <v>928</v>
      </c>
      <c r="B7" s="771" t="s">
        <v>436</v>
      </c>
      <c r="C7" s="772">
        <v>86.53</v>
      </c>
      <c r="D7" s="773" t="s">
        <v>929</v>
      </c>
      <c r="E7" s="772" t="s">
        <v>196</v>
      </c>
      <c r="F7" s="772" t="s">
        <v>196</v>
      </c>
      <c r="G7" s="772" t="s">
        <v>196</v>
      </c>
      <c r="H7" s="140">
        <v>2683</v>
      </c>
      <c r="I7" s="140" t="s">
        <v>930</v>
      </c>
      <c r="J7" s="140">
        <v>240</v>
      </c>
      <c r="K7" s="140"/>
      <c r="L7" s="140"/>
      <c r="M7" s="775">
        <v>86.530935999999997</v>
      </c>
      <c r="N7" s="140"/>
      <c r="O7" s="140"/>
    </row>
    <row r="8" spans="1:54" ht="77.25" customHeight="1">
      <c r="A8" s="771" t="s">
        <v>925</v>
      </c>
      <c r="B8" s="771" t="s">
        <v>436</v>
      </c>
      <c r="C8" s="776">
        <v>244.9</v>
      </c>
      <c r="D8" s="773" t="s">
        <v>931</v>
      </c>
      <c r="E8" s="772" t="s">
        <v>196</v>
      </c>
      <c r="F8" s="772" t="s">
        <v>196</v>
      </c>
      <c r="G8" s="772" t="s">
        <v>196</v>
      </c>
      <c r="H8" s="140">
        <v>2682</v>
      </c>
      <c r="I8" s="140" t="s">
        <v>932</v>
      </c>
      <c r="J8" s="140">
        <v>3</v>
      </c>
      <c r="K8" s="140"/>
      <c r="L8" s="140"/>
      <c r="M8" s="777">
        <v>244.905844</v>
      </c>
      <c r="N8" s="140"/>
      <c r="O8" s="140"/>
    </row>
    <row r="9" spans="1:54" ht="61.5" customHeight="1">
      <c r="A9" s="771" t="s">
        <v>928</v>
      </c>
      <c r="B9" s="771" t="s">
        <v>432</v>
      </c>
      <c r="C9" s="778">
        <v>29.46</v>
      </c>
      <c r="D9" s="773" t="s">
        <v>933</v>
      </c>
      <c r="E9" s="779" t="s">
        <v>934</v>
      </c>
      <c r="F9" s="780">
        <v>40414</v>
      </c>
      <c r="G9" s="781">
        <v>41509</v>
      </c>
      <c r="H9" s="140">
        <v>2683</v>
      </c>
      <c r="I9" s="140" t="s">
        <v>935</v>
      </c>
      <c r="J9" s="140">
        <v>12</v>
      </c>
      <c r="K9" s="140"/>
      <c r="L9" s="140"/>
      <c r="M9" s="775">
        <v>29.466457999999999</v>
      </c>
      <c r="N9" s="140"/>
      <c r="O9" s="140"/>
    </row>
    <row r="10" spans="1:54" ht="77.25" customHeight="1">
      <c r="A10" s="771" t="s">
        <v>928</v>
      </c>
      <c r="B10" s="771" t="s">
        <v>432</v>
      </c>
      <c r="C10" s="778">
        <v>127.09</v>
      </c>
      <c r="D10" s="773" t="s">
        <v>936</v>
      </c>
      <c r="E10" s="782" t="s">
        <v>937</v>
      </c>
      <c r="F10" s="145">
        <v>40475</v>
      </c>
      <c r="G10" s="145">
        <v>41570</v>
      </c>
      <c r="H10" s="140">
        <v>2683</v>
      </c>
      <c r="I10" s="779" t="s">
        <v>938</v>
      </c>
      <c r="J10" s="783">
        <v>1759987</v>
      </c>
      <c r="K10" s="140"/>
      <c r="L10" s="140"/>
      <c r="M10" s="775">
        <v>127.098496</v>
      </c>
      <c r="N10" s="140"/>
      <c r="O10" s="140"/>
    </row>
    <row r="11" spans="1:54" ht="77.25" customHeight="1">
      <c r="A11" s="771" t="s">
        <v>928</v>
      </c>
      <c r="B11" s="771" t="s">
        <v>432</v>
      </c>
      <c r="C11" s="778">
        <v>173.8</v>
      </c>
      <c r="D11" s="773" t="s">
        <v>939</v>
      </c>
      <c r="E11" s="782" t="s">
        <v>940</v>
      </c>
      <c r="F11" s="145">
        <v>40323</v>
      </c>
      <c r="G11" s="145">
        <v>41418</v>
      </c>
      <c r="H11" s="140">
        <v>2683</v>
      </c>
      <c r="I11" s="140" t="s">
        <v>938</v>
      </c>
      <c r="J11" s="783">
        <v>2580336</v>
      </c>
      <c r="K11" s="140"/>
      <c r="L11" s="140"/>
      <c r="M11" s="775">
        <v>173.80658299999999</v>
      </c>
      <c r="N11" s="140"/>
      <c r="O11" s="140"/>
    </row>
    <row r="12" spans="1:54" ht="77.25" customHeight="1">
      <c r="A12" s="771" t="s">
        <v>928</v>
      </c>
      <c r="B12" s="771" t="s">
        <v>432</v>
      </c>
      <c r="C12" s="778">
        <v>221.8</v>
      </c>
      <c r="D12" s="784" t="s">
        <v>941</v>
      </c>
      <c r="E12" s="782" t="s">
        <v>942</v>
      </c>
      <c r="F12" s="145">
        <v>40155</v>
      </c>
      <c r="G12" s="145">
        <v>40975</v>
      </c>
      <c r="H12" s="140">
        <v>2683</v>
      </c>
      <c r="I12" s="140" t="s">
        <v>943</v>
      </c>
      <c r="J12" s="140">
        <v>2</v>
      </c>
      <c r="K12" s="140"/>
      <c r="L12" s="140"/>
      <c r="M12" s="774" t="s">
        <v>944</v>
      </c>
      <c r="N12" s="140"/>
      <c r="O12" s="140"/>
    </row>
    <row r="13" spans="1:54" ht="77.25" customHeight="1">
      <c r="A13" s="771" t="s">
        <v>928</v>
      </c>
      <c r="B13" s="771" t="s">
        <v>432</v>
      </c>
      <c r="C13" s="778">
        <v>221.8</v>
      </c>
      <c r="D13" s="773" t="s">
        <v>941</v>
      </c>
      <c r="E13" s="772" t="s">
        <v>196</v>
      </c>
      <c r="F13" s="772" t="s">
        <v>196</v>
      </c>
      <c r="G13" s="772" t="s">
        <v>196</v>
      </c>
      <c r="H13" s="140">
        <v>2683</v>
      </c>
      <c r="I13" s="140" t="s">
        <v>943</v>
      </c>
      <c r="J13" s="140">
        <v>10</v>
      </c>
      <c r="K13" s="140"/>
      <c r="L13" s="140"/>
      <c r="M13" s="774" t="s">
        <v>945</v>
      </c>
      <c r="N13" s="140"/>
      <c r="O13" s="140"/>
    </row>
    <row r="14" spans="1:54" ht="77.25" customHeight="1">
      <c r="A14" s="771" t="s">
        <v>925</v>
      </c>
      <c r="B14" s="771" t="s">
        <v>436</v>
      </c>
      <c r="C14" s="778">
        <v>360.18</v>
      </c>
      <c r="D14" s="773" t="s">
        <v>946</v>
      </c>
      <c r="E14" s="772" t="s">
        <v>196</v>
      </c>
      <c r="F14" s="772" t="s">
        <v>196</v>
      </c>
      <c r="G14" s="772" t="s">
        <v>196</v>
      </c>
      <c r="H14" s="140">
        <v>2683</v>
      </c>
      <c r="I14" s="140" t="s">
        <v>932</v>
      </c>
      <c r="J14" s="140">
        <v>3</v>
      </c>
      <c r="K14" s="140"/>
      <c r="L14" s="140"/>
      <c r="M14" s="775">
        <v>360.18</v>
      </c>
      <c r="N14" s="140"/>
      <c r="O14" s="140"/>
    </row>
    <row r="15" spans="1:54" ht="30">
      <c r="A15" s="771" t="s">
        <v>928</v>
      </c>
      <c r="B15" s="771" t="s">
        <v>436</v>
      </c>
      <c r="C15" s="772">
        <v>62.1</v>
      </c>
      <c r="D15" s="773" t="s">
        <v>947</v>
      </c>
      <c r="E15" s="772" t="s">
        <v>196</v>
      </c>
      <c r="F15" s="772" t="s">
        <v>196</v>
      </c>
      <c r="G15" s="772" t="s">
        <v>196</v>
      </c>
      <c r="H15" s="140">
        <v>2683</v>
      </c>
      <c r="I15" s="140" t="s">
        <v>932</v>
      </c>
      <c r="J15" s="140">
        <v>6</v>
      </c>
      <c r="K15" s="140"/>
      <c r="L15" s="140"/>
      <c r="M15" s="775">
        <v>62.1</v>
      </c>
      <c r="N15" s="140"/>
      <c r="O15" s="140"/>
    </row>
    <row r="16" spans="1:54" ht="30">
      <c r="A16" s="771" t="s">
        <v>948</v>
      </c>
      <c r="B16" s="771" t="s">
        <v>436</v>
      </c>
      <c r="C16" s="778">
        <v>120.06</v>
      </c>
      <c r="D16" s="773" t="s">
        <v>949</v>
      </c>
      <c r="E16" s="772" t="s">
        <v>196</v>
      </c>
      <c r="F16" s="772" t="s">
        <v>196</v>
      </c>
      <c r="G16" s="772" t="s">
        <v>196</v>
      </c>
      <c r="H16" s="140">
        <v>2681</v>
      </c>
      <c r="I16" s="140" t="s">
        <v>7</v>
      </c>
      <c r="J16" s="140">
        <v>1</v>
      </c>
      <c r="K16" s="140"/>
      <c r="L16" s="140"/>
      <c r="M16" s="775">
        <v>120.06</v>
      </c>
      <c r="N16" s="140"/>
      <c r="O16" s="140"/>
    </row>
    <row r="17" spans="1:15" ht="15" customHeight="1">
      <c r="A17" s="771" t="s">
        <v>948</v>
      </c>
      <c r="B17" s="771" t="s">
        <v>432</v>
      </c>
      <c r="C17" s="772">
        <v>1369.25</v>
      </c>
      <c r="D17" s="773" t="s">
        <v>950</v>
      </c>
      <c r="E17" s="779" t="s">
        <v>951</v>
      </c>
      <c r="F17" s="780">
        <v>40833</v>
      </c>
      <c r="G17" s="781">
        <v>41928</v>
      </c>
      <c r="H17" s="140">
        <v>2681</v>
      </c>
      <c r="I17" s="140" t="s">
        <v>935</v>
      </c>
      <c r="J17" s="140">
        <v>12</v>
      </c>
      <c r="K17" s="140"/>
      <c r="L17" s="140"/>
      <c r="M17" s="775">
        <v>1369.2559200000001</v>
      </c>
      <c r="N17" s="140"/>
      <c r="O17" s="140"/>
    </row>
    <row r="18" spans="1:15" ht="60">
      <c r="A18" s="771" t="s">
        <v>925</v>
      </c>
      <c r="B18" s="771" t="s">
        <v>432</v>
      </c>
      <c r="C18" s="772">
        <v>64.510000000000005</v>
      </c>
      <c r="D18" s="773" t="s">
        <v>952</v>
      </c>
      <c r="E18" s="779" t="s">
        <v>953</v>
      </c>
      <c r="F18" s="780">
        <v>40552</v>
      </c>
      <c r="G18" s="781">
        <v>41647</v>
      </c>
      <c r="H18" s="140">
        <v>2682</v>
      </c>
      <c r="I18" s="140" t="s">
        <v>954</v>
      </c>
      <c r="J18" s="140">
        <v>4</v>
      </c>
      <c r="K18" s="140"/>
      <c r="L18" s="140"/>
      <c r="M18" s="775">
        <v>64.516401999999999</v>
      </c>
      <c r="N18" s="140"/>
      <c r="O18" s="140"/>
    </row>
    <row r="19" spans="1:15" ht="30">
      <c r="A19" s="771" t="s">
        <v>928</v>
      </c>
      <c r="B19" s="771" t="s">
        <v>432</v>
      </c>
      <c r="C19" s="772">
        <f>16.9+44.35</f>
        <v>61.25</v>
      </c>
      <c r="D19" s="773" t="s">
        <v>955</v>
      </c>
      <c r="E19" s="779" t="s">
        <v>956</v>
      </c>
      <c r="F19" s="780">
        <v>40729</v>
      </c>
      <c r="G19" s="781">
        <v>41824</v>
      </c>
      <c r="H19" s="140">
        <v>2683</v>
      </c>
      <c r="I19" s="140" t="s">
        <v>943</v>
      </c>
      <c r="J19" s="140">
        <v>12</v>
      </c>
      <c r="K19" s="140"/>
      <c r="L19" s="140"/>
      <c r="M19" s="775">
        <v>61.25</v>
      </c>
      <c r="N19" s="140"/>
      <c r="O19" s="140"/>
    </row>
    <row r="20" spans="1:15" ht="30">
      <c r="A20" s="771" t="s">
        <v>928</v>
      </c>
      <c r="B20" s="771" t="s">
        <v>436</v>
      </c>
      <c r="C20" s="772">
        <v>20.65</v>
      </c>
      <c r="D20" s="773" t="s">
        <v>957</v>
      </c>
      <c r="E20" s="772" t="s">
        <v>196</v>
      </c>
      <c r="F20" s="772" t="s">
        <v>196</v>
      </c>
      <c r="G20" s="772" t="s">
        <v>196</v>
      </c>
      <c r="H20" s="140">
        <v>2683</v>
      </c>
      <c r="I20" s="140" t="s">
        <v>7</v>
      </c>
      <c r="J20" s="140">
        <v>4</v>
      </c>
      <c r="K20" s="140"/>
      <c r="L20" s="140"/>
      <c r="M20" s="775">
        <v>20.650320000000001</v>
      </c>
      <c r="N20" s="140"/>
      <c r="O20" s="140"/>
    </row>
    <row r="21" spans="1:15" ht="30">
      <c r="A21" s="771" t="s">
        <v>928</v>
      </c>
      <c r="B21" s="771" t="s">
        <v>432</v>
      </c>
      <c r="C21" s="772">
        <v>147.88999999999999</v>
      </c>
      <c r="D21" s="773" t="s">
        <v>958</v>
      </c>
      <c r="E21" s="782" t="s">
        <v>959</v>
      </c>
      <c r="F21" s="145">
        <v>40508</v>
      </c>
      <c r="G21" s="145">
        <v>41603</v>
      </c>
      <c r="H21" s="140">
        <v>2683</v>
      </c>
      <c r="I21" s="140" t="s">
        <v>935</v>
      </c>
      <c r="J21" s="140">
        <v>12</v>
      </c>
      <c r="K21" s="140"/>
      <c r="L21" s="140"/>
      <c r="M21" s="775">
        <v>147.89625100000001</v>
      </c>
      <c r="N21" s="140"/>
      <c r="O21" s="140"/>
    </row>
    <row r="22" spans="1:15" ht="30">
      <c r="A22" s="771" t="s">
        <v>925</v>
      </c>
      <c r="B22" s="771" t="s">
        <v>436</v>
      </c>
      <c r="C22" s="772">
        <v>69.63</v>
      </c>
      <c r="D22" s="773" t="s">
        <v>960</v>
      </c>
      <c r="E22" s="772" t="s">
        <v>196</v>
      </c>
      <c r="F22" s="772" t="s">
        <v>196</v>
      </c>
      <c r="G22" s="772" t="s">
        <v>196</v>
      </c>
      <c r="H22" s="140">
        <v>2682</v>
      </c>
      <c r="I22" s="140" t="s">
        <v>943</v>
      </c>
      <c r="J22" s="140">
        <v>3</v>
      </c>
      <c r="K22" s="140"/>
      <c r="L22" s="140"/>
      <c r="M22" s="775">
        <v>69.634799999999998</v>
      </c>
      <c r="N22" s="140"/>
      <c r="O22" s="140"/>
    </row>
    <row r="23" spans="1:15" ht="45">
      <c r="A23" s="771" t="s">
        <v>928</v>
      </c>
      <c r="B23" s="771" t="s">
        <v>432</v>
      </c>
      <c r="C23" s="772">
        <v>383.1</v>
      </c>
      <c r="D23" s="773" t="s">
        <v>961</v>
      </c>
      <c r="E23" s="782" t="s">
        <v>962</v>
      </c>
      <c r="F23" s="145">
        <v>40461</v>
      </c>
      <c r="G23" s="145">
        <v>41556</v>
      </c>
      <c r="H23" s="140">
        <v>2683</v>
      </c>
      <c r="I23" s="140" t="s">
        <v>943</v>
      </c>
      <c r="J23" s="140">
        <v>12</v>
      </c>
      <c r="K23" s="140"/>
      <c r="L23" s="140"/>
      <c r="M23" s="775">
        <v>383.10871800000001</v>
      </c>
      <c r="N23" s="140"/>
      <c r="O23" s="140"/>
    </row>
    <row r="24" spans="1:15" ht="15" customHeight="1">
      <c r="A24" s="771" t="s">
        <v>928</v>
      </c>
      <c r="B24" s="771" t="s">
        <v>432</v>
      </c>
      <c r="C24" s="772">
        <v>392.05</v>
      </c>
      <c r="D24" s="773" t="s">
        <v>963</v>
      </c>
      <c r="E24" s="782" t="s">
        <v>964</v>
      </c>
      <c r="F24" s="145">
        <v>40483</v>
      </c>
      <c r="G24" s="145">
        <v>41578</v>
      </c>
      <c r="H24" s="140">
        <v>2683</v>
      </c>
      <c r="I24" s="140" t="s">
        <v>943</v>
      </c>
      <c r="J24" s="140">
        <v>12</v>
      </c>
      <c r="K24" s="140"/>
      <c r="L24" s="140"/>
      <c r="M24" s="775">
        <v>392.05798199999998</v>
      </c>
      <c r="N24" s="140"/>
      <c r="O24" s="140"/>
    </row>
    <row r="25" spans="1:15" ht="30">
      <c r="A25" s="771" t="s">
        <v>928</v>
      </c>
      <c r="B25" s="771" t="s">
        <v>432</v>
      </c>
      <c r="C25" s="772">
        <v>107.04</v>
      </c>
      <c r="D25" s="773" t="s">
        <v>965</v>
      </c>
      <c r="E25" s="782" t="s">
        <v>966</v>
      </c>
      <c r="F25" s="145">
        <v>40868</v>
      </c>
      <c r="G25" s="145">
        <v>41963</v>
      </c>
      <c r="H25" s="140">
        <v>2683</v>
      </c>
      <c r="I25" s="140" t="s">
        <v>935</v>
      </c>
      <c r="J25" s="140">
        <v>12</v>
      </c>
      <c r="K25" s="140"/>
      <c r="L25" s="140"/>
      <c r="M25" s="775">
        <v>107.04107399999999</v>
      </c>
      <c r="N25" s="140"/>
      <c r="O25" s="140"/>
    </row>
    <row r="26" spans="1:15" ht="60">
      <c r="A26" s="771" t="s">
        <v>928</v>
      </c>
      <c r="B26" s="771" t="s">
        <v>432</v>
      </c>
      <c r="C26" s="772">
        <v>128.81</v>
      </c>
      <c r="D26" s="773" t="s">
        <v>967</v>
      </c>
      <c r="E26" s="782" t="s">
        <v>968</v>
      </c>
      <c r="F26" s="145">
        <v>40308</v>
      </c>
      <c r="G26" s="145">
        <v>41403</v>
      </c>
      <c r="H26" s="140">
        <v>2683</v>
      </c>
      <c r="I26" s="140" t="s">
        <v>938</v>
      </c>
      <c r="J26" s="783">
        <v>2322891</v>
      </c>
      <c r="K26" s="140"/>
      <c r="L26" s="140"/>
      <c r="M26" s="775">
        <v>128.81537299999999</v>
      </c>
      <c r="N26" s="140"/>
      <c r="O26" s="140"/>
    </row>
    <row r="27" spans="1:15" ht="30" customHeight="1">
      <c r="A27" s="771" t="s">
        <v>928</v>
      </c>
      <c r="B27" s="771" t="s">
        <v>432</v>
      </c>
      <c r="C27" s="772">
        <v>50.08</v>
      </c>
      <c r="D27" s="773" t="s">
        <v>969</v>
      </c>
      <c r="E27" s="782" t="s">
        <v>970</v>
      </c>
      <c r="F27" s="145">
        <v>40745</v>
      </c>
      <c r="G27" s="145" t="s">
        <v>971</v>
      </c>
      <c r="H27" s="140">
        <v>2683</v>
      </c>
      <c r="I27" s="140" t="s">
        <v>938</v>
      </c>
      <c r="J27" s="783">
        <v>803140</v>
      </c>
      <c r="K27" s="140"/>
      <c r="L27" s="140"/>
      <c r="M27" s="775">
        <v>50.089447</v>
      </c>
      <c r="N27" s="140"/>
      <c r="O27" s="140"/>
    </row>
    <row r="28" spans="1:15" ht="60">
      <c r="A28" s="771" t="s">
        <v>925</v>
      </c>
      <c r="B28" s="771" t="s">
        <v>432</v>
      </c>
      <c r="C28" s="772">
        <v>40.82</v>
      </c>
      <c r="D28" s="773" t="s">
        <v>972</v>
      </c>
      <c r="E28" s="782" t="s">
        <v>973</v>
      </c>
      <c r="F28" s="145">
        <v>40087</v>
      </c>
      <c r="G28" s="145">
        <v>41182</v>
      </c>
      <c r="H28" s="140">
        <v>2682</v>
      </c>
      <c r="I28" s="140" t="s">
        <v>938</v>
      </c>
      <c r="J28" s="783">
        <v>11350</v>
      </c>
      <c r="K28" s="140"/>
      <c r="L28" s="140"/>
      <c r="M28" s="775">
        <v>34.017000000000003</v>
      </c>
      <c r="N28" s="140"/>
      <c r="O28" s="140"/>
    </row>
    <row r="29" spans="1:15" ht="60">
      <c r="A29" s="771" t="s">
        <v>925</v>
      </c>
      <c r="B29" s="771" t="s">
        <v>432</v>
      </c>
      <c r="C29" s="772">
        <v>40.82</v>
      </c>
      <c r="D29" s="773" t="s">
        <v>972</v>
      </c>
      <c r="E29" s="772" t="s">
        <v>196</v>
      </c>
      <c r="F29" s="772" t="s">
        <v>196</v>
      </c>
      <c r="G29" s="772" t="s">
        <v>196</v>
      </c>
      <c r="H29" s="140">
        <v>2682</v>
      </c>
      <c r="I29" s="140" t="s">
        <v>938</v>
      </c>
      <c r="J29" s="783">
        <v>2270</v>
      </c>
      <c r="K29" s="140"/>
      <c r="L29" s="140"/>
      <c r="M29" s="775">
        <v>6.8033999999999999</v>
      </c>
      <c r="N29" s="140"/>
      <c r="O29" s="140"/>
    </row>
    <row r="30" spans="1:15" ht="75">
      <c r="A30" s="771" t="s">
        <v>925</v>
      </c>
      <c r="B30" s="771" t="s">
        <v>432</v>
      </c>
      <c r="C30" s="772">
        <v>142.9</v>
      </c>
      <c r="D30" s="773" t="s">
        <v>974</v>
      </c>
      <c r="E30" s="782" t="s">
        <v>975</v>
      </c>
      <c r="F30" s="145">
        <v>40293</v>
      </c>
      <c r="G30" s="145">
        <v>41388</v>
      </c>
      <c r="H30" s="140">
        <v>2682</v>
      </c>
      <c r="I30" s="140" t="s">
        <v>943</v>
      </c>
      <c r="J30" s="140">
        <v>12</v>
      </c>
      <c r="K30" s="140"/>
      <c r="L30" s="140"/>
      <c r="M30" s="775">
        <v>142.90021400000001</v>
      </c>
      <c r="N30" s="140"/>
      <c r="O30" s="140"/>
    </row>
    <row r="31" spans="1:15" ht="75">
      <c r="A31" s="771" t="s">
        <v>928</v>
      </c>
      <c r="B31" s="771" t="s">
        <v>432</v>
      </c>
      <c r="C31" s="772">
        <v>41.76</v>
      </c>
      <c r="D31" s="773" t="s">
        <v>976</v>
      </c>
      <c r="E31" s="782" t="s">
        <v>977</v>
      </c>
      <c r="F31" s="145">
        <v>40337</v>
      </c>
      <c r="G31" s="145">
        <v>41432</v>
      </c>
      <c r="H31" s="140">
        <v>2683</v>
      </c>
      <c r="I31" s="140" t="s">
        <v>978</v>
      </c>
      <c r="J31" s="140">
        <v>4</v>
      </c>
      <c r="K31" s="140"/>
      <c r="L31" s="140"/>
      <c r="M31" s="775">
        <v>41.76</v>
      </c>
      <c r="N31" s="140"/>
      <c r="O31" s="140"/>
    </row>
    <row r="32" spans="1:15" ht="15" customHeight="1">
      <c r="A32" s="771" t="s">
        <v>948</v>
      </c>
      <c r="B32" s="771" t="s">
        <v>436</v>
      </c>
      <c r="C32" s="772">
        <v>250</v>
      </c>
      <c r="D32" s="773" t="s">
        <v>979</v>
      </c>
      <c r="E32" s="772" t="s">
        <v>196</v>
      </c>
      <c r="F32" s="772" t="s">
        <v>196</v>
      </c>
      <c r="G32" s="772" t="s">
        <v>196</v>
      </c>
      <c r="H32" s="140">
        <v>2681</v>
      </c>
      <c r="I32" s="140" t="s">
        <v>7</v>
      </c>
      <c r="J32" s="140">
        <v>1</v>
      </c>
      <c r="K32" s="140"/>
      <c r="L32" s="140"/>
      <c r="M32" s="775">
        <v>250</v>
      </c>
      <c r="N32" s="140"/>
      <c r="O32" s="140"/>
    </row>
    <row r="33" spans="1:15" ht="30">
      <c r="A33" s="771" t="s">
        <v>928</v>
      </c>
      <c r="B33" s="771" t="s">
        <v>436</v>
      </c>
      <c r="C33" s="772">
        <v>90</v>
      </c>
      <c r="D33" s="773" t="s">
        <v>980</v>
      </c>
      <c r="E33" s="772" t="s">
        <v>196</v>
      </c>
      <c r="F33" s="772" t="s">
        <v>196</v>
      </c>
      <c r="G33" s="772" t="s">
        <v>196</v>
      </c>
      <c r="H33" s="140">
        <v>2683</v>
      </c>
      <c r="I33" s="140" t="s">
        <v>932</v>
      </c>
      <c r="J33" s="140">
        <v>2</v>
      </c>
      <c r="K33" s="140"/>
      <c r="L33" s="140"/>
      <c r="M33" s="777">
        <v>90</v>
      </c>
      <c r="N33" s="140"/>
      <c r="O33" s="140"/>
    </row>
    <row r="34" spans="1:15" ht="30">
      <c r="A34" s="771" t="s">
        <v>925</v>
      </c>
      <c r="B34" s="771" t="s">
        <v>436</v>
      </c>
      <c r="C34" s="772">
        <v>81.64</v>
      </c>
      <c r="D34" s="773" t="s">
        <v>981</v>
      </c>
      <c r="E34" s="772" t="s">
        <v>196</v>
      </c>
      <c r="F34" s="772" t="s">
        <v>196</v>
      </c>
      <c r="G34" s="772" t="s">
        <v>196</v>
      </c>
      <c r="H34" s="140">
        <v>2682</v>
      </c>
      <c r="I34" s="140" t="s">
        <v>7</v>
      </c>
      <c r="J34" s="140">
        <v>1</v>
      </c>
      <c r="K34" s="140"/>
      <c r="L34" s="140"/>
      <c r="M34" s="777">
        <v>81.640799999999999</v>
      </c>
      <c r="N34" s="140"/>
      <c r="O34" s="140"/>
    </row>
    <row r="35" spans="1:15" ht="15" customHeight="1">
      <c r="A35" s="771" t="s">
        <v>948</v>
      </c>
      <c r="B35" s="771" t="s">
        <v>436</v>
      </c>
      <c r="C35" s="772">
        <v>280.94</v>
      </c>
      <c r="D35" s="773" t="s">
        <v>982</v>
      </c>
      <c r="E35" s="772" t="s">
        <v>196</v>
      </c>
      <c r="F35" s="772" t="s">
        <v>196</v>
      </c>
      <c r="G35" s="772" t="s">
        <v>196</v>
      </c>
      <c r="H35" s="140">
        <v>2681</v>
      </c>
      <c r="I35" s="140" t="s">
        <v>372</v>
      </c>
      <c r="J35" s="140">
        <v>1920</v>
      </c>
      <c r="K35" s="140"/>
      <c r="L35" s="140"/>
      <c r="M35" s="777">
        <v>280.94040000000001</v>
      </c>
      <c r="N35" s="140"/>
      <c r="O35" s="140"/>
    </row>
    <row r="36" spans="1:15" ht="30">
      <c r="A36" s="771" t="s">
        <v>948</v>
      </c>
      <c r="B36" s="771" t="s">
        <v>436</v>
      </c>
      <c r="C36" s="772">
        <v>168</v>
      </c>
      <c r="D36" s="773" t="s">
        <v>983</v>
      </c>
      <c r="E36" s="772" t="s">
        <v>196</v>
      </c>
      <c r="F36" s="772" t="s">
        <v>196</v>
      </c>
      <c r="G36" s="772" t="s">
        <v>196</v>
      </c>
      <c r="H36" s="140">
        <v>2681</v>
      </c>
      <c r="I36" s="140" t="s">
        <v>7</v>
      </c>
      <c r="J36" s="140">
        <v>1</v>
      </c>
      <c r="K36" s="140"/>
      <c r="L36" s="140"/>
      <c r="M36" s="777">
        <v>168</v>
      </c>
      <c r="N36" s="140"/>
      <c r="O36" s="140"/>
    </row>
    <row r="37" spans="1:15" ht="30">
      <c r="A37" s="771" t="s">
        <v>925</v>
      </c>
      <c r="B37" s="771" t="s">
        <v>436</v>
      </c>
      <c r="C37" s="772">
        <v>116</v>
      </c>
      <c r="D37" s="784" t="s">
        <v>984</v>
      </c>
      <c r="E37" s="772" t="s">
        <v>196</v>
      </c>
      <c r="F37" s="772" t="s">
        <v>196</v>
      </c>
      <c r="G37" s="772" t="s">
        <v>196</v>
      </c>
      <c r="H37" s="140">
        <v>2682</v>
      </c>
      <c r="I37" s="140" t="s">
        <v>7</v>
      </c>
      <c r="J37" s="140">
        <v>1</v>
      </c>
      <c r="K37" s="140"/>
      <c r="L37" s="140"/>
      <c r="M37" s="777">
        <v>116</v>
      </c>
      <c r="N37" s="140"/>
      <c r="O37" s="140"/>
    </row>
    <row r="38" spans="1:15" ht="30">
      <c r="A38" s="771" t="s">
        <v>948</v>
      </c>
      <c r="B38" s="771" t="s">
        <v>436</v>
      </c>
      <c r="C38" s="772">
        <v>140</v>
      </c>
      <c r="D38" s="773" t="s">
        <v>985</v>
      </c>
      <c r="E38" s="772" t="s">
        <v>196</v>
      </c>
      <c r="F38" s="772" t="s">
        <v>196</v>
      </c>
      <c r="G38" s="772" t="s">
        <v>196</v>
      </c>
      <c r="H38" s="140">
        <v>2681</v>
      </c>
      <c r="I38" s="140" t="s">
        <v>7</v>
      </c>
      <c r="J38" s="140">
        <v>1</v>
      </c>
      <c r="K38" s="140"/>
      <c r="L38" s="140"/>
      <c r="M38" s="777">
        <v>140</v>
      </c>
      <c r="N38" s="140"/>
      <c r="O38" s="140"/>
    </row>
    <row r="39" spans="1:15" ht="30">
      <c r="A39" s="771" t="s">
        <v>925</v>
      </c>
      <c r="B39" s="771" t="s">
        <v>432</v>
      </c>
      <c r="C39" s="772">
        <v>248.55</v>
      </c>
      <c r="D39" s="784" t="s">
        <v>986</v>
      </c>
      <c r="E39" s="782" t="s">
        <v>987</v>
      </c>
      <c r="F39" s="145">
        <v>40841</v>
      </c>
      <c r="G39" s="145">
        <v>41936</v>
      </c>
      <c r="H39" s="140">
        <v>2682</v>
      </c>
      <c r="I39" s="140" t="s">
        <v>935</v>
      </c>
      <c r="J39" s="140">
        <v>12</v>
      </c>
      <c r="K39" s="140"/>
      <c r="L39" s="140"/>
      <c r="M39" s="777">
        <v>248.55247499999999</v>
      </c>
      <c r="N39" s="140"/>
      <c r="O39" s="140"/>
    </row>
    <row r="40" spans="1:15" ht="15" customHeight="1">
      <c r="A40" s="771" t="s">
        <v>928</v>
      </c>
      <c r="B40" s="771" t="s">
        <v>432</v>
      </c>
      <c r="C40" s="772">
        <v>108.67</v>
      </c>
      <c r="D40" s="773" t="s">
        <v>988</v>
      </c>
      <c r="E40" s="782" t="s">
        <v>989</v>
      </c>
      <c r="F40" s="145">
        <v>40829</v>
      </c>
      <c r="G40" s="145">
        <v>41924</v>
      </c>
      <c r="H40" s="140">
        <v>2683</v>
      </c>
      <c r="I40" s="140" t="s">
        <v>930</v>
      </c>
      <c r="J40" s="140">
        <v>248</v>
      </c>
      <c r="K40" s="140"/>
      <c r="L40" s="140"/>
      <c r="M40" s="775">
        <v>108.671087</v>
      </c>
      <c r="N40" s="140"/>
      <c r="O40" s="140"/>
    </row>
    <row r="41" spans="1:15" ht="30">
      <c r="A41" s="771" t="s">
        <v>990</v>
      </c>
      <c r="B41" s="771" t="s">
        <v>436</v>
      </c>
      <c r="C41" s="772">
        <v>215.51</v>
      </c>
      <c r="D41" s="773" t="s">
        <v>991</v>
      </c>
      <c r="E41" s="772" t="s">
        <v>196</v>
      </c>
      <c r="F41" s="772" t="s">
        <v>196</v>
      </c>
      <c r="G41" s="772" t="s">
        <v>196</v>
      </c>
      <c r="H41" s="140">
        <v>2692</v>
      </c>
      <c r="I41" s="140" t="s">
        <v>992</v>
      </c>
      <c r="J41" s="140">
        <v>1</v>
      </c>
      <c r="K41" s="140"/>
      <c r="L41" s="140"/>
      <c r="M41" s="775">
        <v>215.51724100000001</v>
      </c>
      <c r="N41" s="140"/>
      <c r="O41" s="140"/>
    </row>
    <row r="42" spans="1:15" ht="30">
      <c r="A42" s="771" t="s">
        <v>990</v>
      </c>
      <c r="B42" s="771" t="s">
        <v>436</v>
      </c>
      <c r="C42" s="772">
        <v>64.13</v>
      </c>
      <c r="D42" s="773" t="s">
        <v>993</v>
      </c>
      <c r="E42" s="772" t="s">
        <v>196</v>
      </c>
      <c r="F42" s="772" t="s">
        <v>196</v>
      </c>
      <c r="G42" s="772" t="s">
        <v>196</v>
      </c>
      <c r="H42" s="140">
        <v>2692</v>
      </c>
      <c r="I42" s="140" t="s">
        <v>992</v>
      </c>
      <c r="J42" s="140">
        <v>1</v>
      </c>
      <c r="K42" s="140"/>
      <c r="L42" s="140"/>
      <c r="M42" s="775">
        <v>64.137930999999995</v>
      </c>
      <c r="N42" s="140"/>
      <c r="O42" s="140"/>
    </row>
    <row r="43" spans="1:15" ht="30">
      <c r="A43" s="771" t="s">
        <v>990</v>
      </c>
      <c r="B43" s="771" t="s">
        <v>436</v>
      </c>
      <c r="C43" s="772">
        <v>775.86</v>
      </c>
      <c r="D43" s="773" t="s">
        <v>994</v>
      </c>
      <c r="E43" s="772" t="s">
        <v>196</v>
      </c>
      <c r="F43" s="772" t="s">
        <v>196</v>
      </c>
      <c r="G43" s="772" t="s">
        <v>196</v>
      </c>
      <c r="H43" s="140">
        <v>2692</v>
      </c>
      <c r="I43" s="140" t="s">
        <v>992</v>
      </c>
      <c r="J43" s="140">
        <v>1</v>
      </c>
      <c r="K43" s="140"/>
      <c r="L43" s="140"/>
      <c r="M43" s="775">
        <v>775.86206800000002</v>
      </c>
      <c r="N43" s="140"/>
      <c r="O43" s="140"/>
    </row>
    <row r="44" spans="1:15" ht="45">
      <c r="A44" s="771" t="s">
        <v>990</v>
      </c>
      <c r="B44" s="771" t="s">
        <v>436</v>
      </c>
      <c r="C44" s="772">
        <v>394.72</v>
      </c>
      <c r="D44" s="773" t="s">
        <v>995</v>
      </c>
      <c r="E44" s="772" t="s">
        <v>196</v>
      </c>
      <c r="F44" s="772" t="s">
        <v>196</v>
      </c>
      <c r="G44" s="772" t="s">
        <v>196</v>
      </c>
      <c r="H44" s="140">
        <v>2692</v>
      </c>
      <c r="I44" s="140" t="s">
        <v>992</v>
      </c>
      <c r="J44" s="140">
        <v>1</v>
      </c>
      <c r="K44" s="140"/>
      <c r="L44" s="140"/>
      <c r="M44" s="775">
        <v>394.72808500000002</v>
      </c>
      <c r="N44" s="140"/>
      <c r="O44" s="140"/>
    </row>
    <row r="45" spans="1:15" ht="30">
      <c r="A45" s="771" t="s">
        <v>990</v>
      </c>
      <c r="B45" s="771" t="s">
        <v>436</v>
      </c>
      <c r="C45" s="772">
        <v>193.96</v>
      </c>
      <c r="D45" s="773" t="s">
        <v>996</v>
      </c>
      <c r="E45" s="772" t="s">
        <v>196</v>
      </c>
      <c r="F45" s="772" t="s">
        <v>196</v>
      </c>
      <c r="G45" s="772" t="s">
        <v>196</v>
      </c>
      <c r="H45" s="140">
        <v>2692</v>
      </c>
      <c r="I45" s="140" t="s">
        <v>997</v>
      </c>
      <c r="J45" s="140">
        <v>1</v>
      </c>
      <c r="K45" s="140"/>
      <c r="L45" s="140"/>
      <c r="M45" s="775">
        <v>193.96551700000001</v>
      </c>
      <c r="N45" s="140"/>
      <c r="O45" s="140"/>
    </row>
    <row r="46" spans="1:15" ht="30">
      <c r="A46" s="771" t="s">
        <v>990</v>
      </c>
      <c r="B46" s="771" t="s">
        <v>436</v>
      </c>
      <c r="C46" s="772">
        <v>129.31</v>
      </c>
      <c r="D46" s="773" t="s">
        <v>998</v>
      </c>
      <c r="E46" s="772" t="s">
        <v>196</v>
      </c>
      <c r="F46" s="772" t="s">
        <v>196</v>
      </c>
      <c r="G46" s="772" t="s">
        <v>196</v>
      </c>
      <c r="H46" s="140">
        <v>2692</v>
      </c>
      <c r="I46" s="140" t="s">
        <v>999</v>
      </c>
      <c r="J46" s="140">
        <v>1</v>
      </c>
      <c r="K46" s="140"/>
      <c r="L46" s="140"/>
      <c r="M46" s="775">
        <v>129.31</v>
      </c>
      <c r="N46" s="140"/>
      <c r="O46" s="140"/>
    </row>
    <row r="47" spans="1:15" ht="60">
      <c r="A47" s="771" t="s">
        <v>990</v>
      </c>
      <c r="B47" s="771" t="s">
        <v>436</v>
      </c>
      <c r="C47" s="772">
        <v>258.62</v>
      </c>
      <c r="D47" s="773" t="s">
        <v>1000</v>
      </c>
      <c r="E47" s="772" t="s">
        <v>196</v>
      </c>
      <c r="F47" s="772" t="s">
        <v>196</v>
      </c>
      <c r="G47" s="772" t="s">
        <v>196</v>
      </c>
      <c r="H47" s="140">
        <v>2692</v>
      </c>
      <c r="I47" s="140" t="s">
        <v>311</v>
      </c>
      <c r="J47" s="140">
        <v>1</v>
      </c>
      <c r="K47" s="140"/>
      <c r="L47" s="140"/>
      <c r="M47" s="775">
        <v>258.62</v>
      </c>
      <c r="N47" s="140"/>
      <c r="O47" s="140"/>
    </row>
    <row r="48" spans="1:15" ht="45">
      <c r="A48" s="771" t="s">
        <v>990</v>
      </c>
      <c r="B48" s="771" t="s">
        <v>436</v>
      </c>
      <c r="C48" s="772">
        <v>118.53</v>
      </c>
      <c r="D48" s="773" t="s">
        <v>1001</v>
      </c>
      <c r="E48" s="772" t="s">
        <v>196</v>
      </c>
      <c r="F48" s="772" t="s">
        <v>196</v>
      </c>
      <c r="G48" s="772" t="s">
        <v>196</v>
      </c>
      <c r="H48" s="140">
        <v>2692</v>
      </c>
      <c r="I48" s="140" t="s">
        <v>992</v>
      </c>
      <c r="J48" s="140">
        <v>1</v>
      </c>
      <c r="K48" s="140"/>
      <c r="L48" s="140"/>
      <c r="M48" s="775">
        <v>118.532483</v>
      </c>
      <c r="N48" s="140"/>
      <c r="O48" s="140"/>
    </row>
    <row r="49" spans="1:15" ht="45">
      <c r="A49" s="771" t="s">
        <v>990</v>
      </c>
      <c r="B49" s="771" t="s">
        <v>436</v>
      </c>
      <c r="C49" s="772">
        <v>124.77</v>
      </c>
      <c r="D49" s="773" t="s">
        <v>1002</v>
      </c>
      <c r="E49" s="772" t="s">
        <v>196</v>
      </c>
      <c r="F49" s="772" t="s">
        <v>196</v>
      </c>
      <c r="G49" s="772" t="s">
        <v>196</v>
      </c>
      <c r="H49" s="140">
        <v>2692</v>
      </c>
      <c r="I49" s="140" t="s">
        <v>992</v>
      </c>
      <c r="J49" s="140">
        <v>1</v>
      </c>
      <c r="K49" s="140"/>
      <c r="L49" s="140"/>
      <c r="M49" s="775">
        <v>124.771034</v>
      </c>
      <c r="N49" s="140"/>
      <c r="O49" s="140"/>
    </row>
    <row r="50" spans="1:15" ht="45">
      <c r="A50" s="771" t="s">
        <v>990</v>
      </c>
      <c r="B50" s="771" t="s">
        <v>436</v>
      </c>
      <c r="C50" s="772">
        <v>149.72</v>
      </c>
      <c r="D50" s="773" t="s">
        <v>1003</v>
      </c>
      <c r="E50" s="772" t="s">
        <v>196</v>
      </c>
      <c r="F50" s="772" t="s">
        <v>196</v>
      </c>
      <c r="G50" s="772" t="s">
        <v>196</v>
      </c>
      <c r="H50" s="140">
        <v>2692</v>
      </c>
      <c r="I50" s="140" t="s">
        <v>992</v>
      </c>
      <c r="J50" s="140">
        <v>1</v>
      </c>
      <c r="K50" s="140"/>
      <c r="L50" s="140"/>
      <c r="M50" s="775">
        <v>149.72524100000001</v>
      </c>
      <c r="N50" s="140"/>
      <c r="O50" s="140"/>
    </row>
    <row r="51" spans="1:15" ht="30">
      <c r="A51" s="771" t="s">
        <v>990</v>
      </c>
      <c r="B51" s="771" t="s">
        <v>436</v>
      </c>
      <c r="C51" s="772">
        <v>344.82</v>
      </c>
      <c r="D51" s="773" t="s">
        <v>1004</v>
      </c>
      <c r="E51" s="772" t="s">
        <v>196</v>
      </c>
      <c r="F51" s="772" t="s">
        <v>196</v>
      </c>
      <c r="G51" s="772" t="s">
        <v>196</v>
      </c>
      <c r="H51" s="140">
        <v>2692</v>
      </c>
      <c r="I51" s="140" t="s">
        <v>999</v>
      </c>
      <c r="J51" s="140">
        <v>1</v>
      </c>
      <c r="K51" s="140"/>
      <c r="L51" s="140"/>
      <c r="M51" s="775">
        <v>232.18799999999999</v>
      </c>
      <c r="N51" s="140"/>
      <c r="O51" s="140"/>
    </row>
    <row r="52" spans="1:15" ht="30">
      <c r="A52" s="771" t="s">
        <v>990</v>
      </c>
      <c r="B52" s="771" t="s">
        <v>436</v>
      </c>
      <c r="C52" s="772">
        <v>375.05</v>
      </c>
      <c r="D52" s="773" t="s">
        <v>1005</v>
      </c>
      <c r="E52" s="772" t="s">
        <v>196</v>
      </c>
      <c r="F52" s="772" t="s">
        <v>196</v>
      </c>
      <c r="G52" s="772" t="s">
        <v>196</v>
      </c>
      <c r="H52" s="140">
        <v>2692</v>
      </c>
      <c r="I52" s="140" t="s">
        <v>992</v>
      </c>
      <c r="J52" s="140">
        <v>1</v>
      </c>
      <c r="K52" s="140"/>
      <c r="L52" s="140"/>
      <c r="M52" s="775">
        <v>375.0505</v>
      </c>
      <c r="N52" s="140"/>
      <c r="O52" s="140"/>
    </row>
    <row r="53" spans="1:15" ht="60">
      <c r="A53" s="771" t="s">
        <v>990</v>
      </c>
      <c r="B53" s="771" t="s">
        <v>436</v>
      </c>
      <c r="C53" s="772">
        <v>520</v>
      </c>
      <c r="D53" s="773" t="s">
        <v>1006</v>
      </c>
      <c r="E53" s="772" t="s">
        <v>196</v>
      </c>
      <c r="F53" s="772" t="s">
        <v>196</v>
      </c>
      <c r="G53" s="772" t="s">
        <v>196</v>
      </c>
      <c r="H53" s="140">
        <v>2692</v>
      </c>
      <c r="I53" s="140" t="s">
        <v>992</v>
      </c>
      <c r="J53" s="140">
        <v>1</v>
      </c>
      <c r="K53" s="140"/>
      <c r="L53" s="140"/>
      <c r="M53" s="775">
        <v>520</v>
      </c>
      <c r="N53" s="140"/>
      <c r="O53" s="140"/>
    </row>
    <row r="54" spans="1:15" ht="105">
      <c r="A54" s="771" t="s">
        <v>990</v>
      </c>
      <c r="B54" s="771" t="s">
        <v>432</v>
      </c>
      <c r="C54" s="772">
        <v>158.26</v>
      </c>
      <c r="D54" s="773" t="s">
        <v>1007</v>
      </c>
      <c r="E54" s="782" t="s">
        <v>1008</v>
      </c>
      <c r="F54" s="145">
        <v>40103</v>
      </c>
      <c r="G54" s="145">
        <v>41198</v>
      </c>
      <c r="H54" s="140">
        <v>2692</v>
      </c>
      <c r="I54" s="140" t="s">
        <v>943</v>
      </c>
      <c r="J54" s="140">
        <v>10</v>
      </c>
      <c r="K54" s="140"/>
      <c r="L54" s="140"/>
      <c r="M54" s="775">
        <f>158265658.76/1000000</f>
        <v>158.26565875999998</v>
      </c>
      <c r="N54" s="140"/>
      <c r="O54" s="140"/>
    </row>
    <row r="55" spans="1:15" ht="105">
      <c r="A55" s="771" t="s">
        <v>990</v>
      </c>
      <c r="B55" s="771" t="s">
        <v>432</v>
      </c>
      <c r="C55" s="772">
        <v>158.26</v>
      </c>
      <c r="D55" s="773" t="s">
        <v>1007</v>
      </c>
      <c r="E55" s="772" t="s">
        <v>196</v>
      </c>
      <c r="F55" s="772" t="s">
        <v>196</v>
      </c>
      <c r="G55" s="772" t="s">
        <v>196</v>
      </c>
      <c r="H55" s="140">
        <v>2692</v>
      </c>
      <c r="I55" s="140" t="s">
        <v>943</v>
      </c>
      <c r="J55" s="140">
        <v>2</v>
      </c>
      <c r="K55" s="140"/>
      <c r="L55" s="140"/>
      <c r="M55" s="775">
        <f>31653131.752/1000000</f>
        <v>31.653131752</v>
      </c>
      <c r="N55" s="140"/>
      <c r="O55" s="140"/>
    </row>
    <row r="56" spans="1:15" ht="45">
      <c r="A56" s="771" t="s">
        <v>990</v>
      </c>
      <c r="B56" s="771" t="s">
        <v>432</v>
      </c>
      <c r="C56" s="772">
        <v>1929.84</v>
      </c>
      <c r="D56" s="773" t="s">
        <v>1009</v>
      </c>
      <c r="E56" s="782" t="s">
        <v>1010</v>
      </c>
      <c r="F56" s="145">
        <v>40763</v>
      </c>
      <c r="G56" s="145">
        <v>41858</v>
      </c>
      <c r="H56" s="140">
        <v>2692</v>
      </c>
      <c r="I56" s="140" t="s">
        <v>935</v>
      </c>
      <c r="J56" s="140">
        <v>12</v>
      </c>
      <c r="K56" s="140"/>
      <c r="L56" s="140"/>
      <c r="M56" s="775">
        <f>1929842039/1000000</f>
        <v>1929.8420390000001</v>
      </c>
      <c r="N56" s="140"/>
      <c r="O56" s="140"/>
    </row>
    <row r="57" spans="1:15" ht="45">
      <c r="A57" s="771" t="s">
        <v>990</v>
      </c>
      <c r="B57" s="771" t="s">
        <v>432</v>
      </c>
      <c r="C57" s="772">
        <v>1065.48</v>
      </c>
      <c r="D57" s="773" t="s">
        <v>1011</v>
      </c>
      <c r="E57" s="782">
        <v>29990435874</v>
      </c>
      <c r="F57" s="145">
        <v>39904</v>
      </c>
      <c r="G57" s="145">
        <v>40999</v>
      </c>
      <c r="H57" s="140">
        <v>2692</v>
      </c>
      <c r="I57" s="140" t="s">
        <v>943</v>
      </c>
      <c r="J57" s="140">
        <v>3</v>
      </c>
      <c r="K57" s="140"/>
      <c r="L57" s="140"/>
      <c r="M57" s="775">
        <f>266371250/1000000</f>
        <v>266.37124999999997</v>
      </c>
      <c r="N57" s="140"/>
      <c r="O57" s="140"/>
    </row>
    <row r="58" spans="1:15" ht="45">
      <c r="A58" s="771" t="s">
        <v>990</v>
      </c>
      <c r="B58" s="771" t="s">
        <v>432</v>
      </c>
      <c r="C58" s="772">
        <v>1034.3499999999999</v>
      </c>
      <c r="D58" s="773" t="s">
        <v>1011</v>
      </c>
      <c r="E58" s="772" t="s">
        <v>196</v>
      </c>
      <c r="F58" s="772" t="s">
        <v>196</v>
      </c>
      <c r="G58" s="772" t="s">
        <v>196</v>
      </c>
      <c r="H58" s="140">
        <v>2692</v>
      </c>
      <c r="I58" s="140" t="s">
        <v>943</v>
      </c>
      <c r="J58" s="140">
        <v>9</v>
      </c>
      <c r="K58" s="140"/>
      <c r="L58" s="140"/>
      <c r="M58" s="775">
        <f>930923224.2/1000000</f>
        <v>930.92322420000005</v>
      </c>
      <c r="N58" s="140"/>
      <c r="O58" s="140"/>
    </row>
    <row r="59" spans="1:15" ht="120">
      <c r="A59" s="771" t="s">
        <v>990</v>
      </c>
      <c r="B59" s="771" t="s">
        <v>436</v>
      </c>
      <c r="C59" s="772">
        <v>2090.38</v>
      </c>
      <c r="D59" s="773" t="s">
        <v>1012</v>
      </c>
      <c r="E59" s="772" t="s">
        <v>1013</v>
      </c>
      <c r="F59" s="145">
        <v>40893</v>
      </c>
      <c r="G59" s="785">
        <v>41197</v>
      </c>
      <c r="H59" s="140">
        <v>2692</v>
      </c>
      <c r="I59" s="140" t="s">
        <v>311</v>
      </c>
      <c r="J59" s="140">
        <v>1</v>
      </c>
      <c r="K59" s="140"/>
      <c r="L59" s="140"/>
      <c r="M59" s="775">
        <f>2090382222.61/1000000</f>
        <v>2090.3822226100001</v>
      </c>
      <c r="N59" s="140"/>
      <c r="O59" s="140"/>
    </row>
    <row r="60" spans="1:15" ht="45">
      <c r="A60" s="771" t="s">
        <v>1014</v>
      </c>
      <c r="B60" s="771" t="s">
        <v>432</v>
      </c>
      <c r="C60" s="772">
        <v>709.7</v>
      </c>
      <c r="D60" s="773" t="s">
        <v>1015</v>
      </c>
      <c r="E60" s="772" t="s">
        <v>196</v>
      </c>
      <c r="F60" s="772" t="s">
        <v>196</v>
      </c>
      <c r="G60" s="772" t="s">
        <v>196</v>
      </c>
      <c r="H60" s="140">
        <v>2673</v>
      </c>
      <c r="I60" s="140" t="s">
        <v>935</v>
      </c>
      <c r="J60" s="786">
        <v>2.5</v>
      </c>
      <c r="K60" s="140"/>
      <c r="L60" s="140"/>
      <c r="M60" s="775">
        <f>149000000/1000000</f>
        <v>149</v>
      </c>
      <c r="N60" s="140"/>
      <c r="O60" s="140"/>
    </row>
    <row r="61" spans="1:15" ht="45">
      <c r="A61" s="771" t="s">
        <v>1014</v>
      </c>
      <c r="B61" s="771" t="s">
        <v>432</v>
      </c>
      <c r="C61" s="772">
        <v>144.47999999999999</v>
      </c>
      <c r="D61" s="773" t="s">
        <v>1016</v>
      </c>
      <c r="E61" s="772" t="s">
        <v>196</v>
      </c>
      <c r="F61" s="772" t="s">
        <v>196</v>
      </c>
      <c r="G61" s="772" t="s">
        <v>196</v>
      </c>
      <c r="H61" s="140">
        <v>2673</v>
      </c>
      <c r="I61" s="140" t="s">
        <v>943</v>
      </c>
      <c r="J61" s="140">
        <v>9</v>
      </c>
      <c r="K61" s="140"/>
      <c r="L61" s="140"/>
      <c r="M61" s="775">
        <f>108000000/1000000</f>
        <v>108</v>
      </c>
      <c r="N61" s="140"/>
      <c r="O61" s="140"/>
    </row>
    <row r="62" spans="1:15" ht="60">
      <c r="A62" s="771" t="s">
        <v>1014</v>
      </c>
      <c r="B62" s="771" t="s">
        <v>432</v>
      </c>
      <c r="C62" s="772">
        <v>299.79000000000002</v>
      </c>
      <c r="D62" s="773" t="s">
        <v>1017</v>
      </c>
      <c r="E62" s="772" t="s">
        <v>196</v>
      </c>
      <c r="F62" s="772" t="s">
        <v>196</v>
      </c>
      <c r="G62" s="772" t="s">
        <v>196</v>
      </c>
      <c r="H62" s="140">
        <v>2673</v>
      </c>
      <c r="I62" s="140" t="s">
        <v>943</v>
      </c>
      <c r="J62" s="786">
        <v>3.5</v>
      </c>
      <c r="K62" s="140"/>
      <c r="L62" s="140"/>
      <c r="M62" s="775">
        <f>84700000/1000000</f>
        <v>84.7</v>
      </c>
      <c r="N62" s="140"/>
      <c r="O62" s="140"/>
    </row>
    <row r="63" spans="1:15" ht="60">
      <c r="A63" s="771" t="s">
        <v>1014</v>
      </c>
      <c r="B63" s="771" t="s">
        <v>432</v>
      </c>
      <c r="C63" s="772">
        <v>225.76</v>
      </c>
      <c r="D63" s="773" t="s">
        <v>1018</v>
      </c>
      <c r="E63" s="772" t="s">
        <v>196</v>
      </c>
      <c r="F63" s="772" t="s">
        <v>196</v>
      </c>
      <c r="G63" s="772" t="s">
        <v>196</v>
      </c>
      <c r="H63" s="140">
        <v>2673</v>
      </c>
      <c r="I63" s="140" t="s">
        <v>943</v>
      </c>
      <c r="J63" s="140">
        <v>8</v>
      </c>
      <c r="K63" s="140"/>
      <c r="L63" s="140"/>
      <c r="M63" s="775">
        <f>150500000/1000000</f>
        <v>150.5</v>
      </c>
      <c r="N63" s="140"/>
      <c r="O63" s="140"/>
    </row>
    <row r="64" spans="1:15" ht="45">
      <c r="A64" s="771" t="s">
        <v>1014</v>
      </c>
      <c r="B64" s="771" t="s">
        <v>432</v>
      </c>
      <c r="C64" s="772">
        <v>353.95</v>
      </c>
      <c r="D64" s="773" t="s">
        <v>1019</v>
      </c>
      <c r="E64" s="772" t="s">
        <v>196</v>
      </c>
      <c r="F64" s="772" t="s">
        <v>196</v>
      </c>
      <c r="G64" s="772" t="s">
        <v>196</v>
      </c>
      <c r="H64" s="140">
        <v>2673</v>
      </c>
      <c r="I64" s="140" t="s">
        <v>943</v>
      </c>
      <c r="J64" s="786">
        <v>1.5</v>
      </c>
      <c r="K64" s="140"/>
      <c r="L64" s="140"/>
      <c r="M64" s="775">
        <f>33600000/1000000</f>
        <v>33.6</v>
      </c>
      <c r="N64" s="140"/>
      <c r="O64" s="140"/>
    </row>
    <row r="65" spans="1:15" ht="45">
      <c r="A65" s="771" t="s">
        <v>1020</v>
      </c>
      <c r="B65" s="771" t="s">
        <v>436</v>
      </c>
      <c r="C65" s="772">
        <v>129.91999999999999</v>
      </c>
      <c r="D65" s="773" t="s">
        <v>1021</v>
      </c>
      <c r="E65" s="772" t="s">
        <v>196</v>
      </c>
      <c r="F65" s="772" t="s">
        <v>196</v>
      </c>
      <c r="G65" s="772" t="s">
        <v>196</v>
      </c>
      <c r="H65" s="140">
        <v>2670</v>
      </c>
      <c r="I65" s="140" t="s">
        <v>992</v>
      </c>
      <c r="J65" s="140">
        <v>1</v>
      </c>
      <c r="K65" s="140"/>
      <c r="L65" s="140"/>
      <c r="M65" s="775">
        <f>129920000/1000000</f>
        <v>129.91999999999999</v>
      </c>
      <c r="N65" s="140"/>
      <c r="O65" s="140"/>
    </row>
    <row r="66" spans="1:15" ht="45">
      <c r="A66" s="771" t="s">
        <v>1022</v>
      </c>
      <c r="B66" s="771" t="s">
        <v>436</v>
      </c>
      <c r="C66" s="772">
        <v>113.51</v>
      </c>
      <c r="D66" s="773" t="s">
        <v>1023</v>
      </c>
      <c r="E66" s="772" t="s">
        <v>196</v>
      </c>
      <c r="F66" s="772" t="s">
        <v>196</v>
      </c>
      <c r="G66" s="772" t="s">
        <v>196</v>
      </c>
      <c r="H66" s="140">
        <v>2672</v>
      </c>
      <c r="I66" s="140" t="s">
        <v>943</v>
      </c>
      <c r="J66" s="140">
        <v>8</v>
      </c>
      <c r="K66" s="140"/>
      <c r="L66" s="140"/>
      <c r="M66" s="775">
        <f>113514742/1000000</f>
        <v>113.514742</v>
      </c>
      <c r="N66" s="140"/>
      <c r="O66" s="140"/>
    </row>
    <row r="67" spans="1:15" ht="30">
      <c r="A67" s="771" t="s">
        <v>1022</v>
      </c>
      <c r="B67" s="771" t="s">
        <v>436</v>
      </c>
      <c r="C67" s="772">
        <v>80</v>
      </c>
      <c r="D67" s="773" t="s">
        <v>1024</v>
      </c>
      <c r="E67" s="772" t="s">
        <v>196</v>
      </c>
      <c r="F67" s="772" t="s">
        <v>196</v>
      </c>
      <c r="G67" s="772" t="s">
        <v>196</v>
      </c>
      <c r="H67" s="140">
        <v>2672</v>
      </c>
      <c r="I67" s="140" t="s">
        <v>7</v>
      </c>
      <c r="J67" s="140">
        <v>2</v>
      </c>
      <c r="K67" s="140"/>
      <c r="L67" s="140"/>
      <c r="M67" s="775">
        <f>80000000/1000000</f>
        <v>80</v>
      </c>
      <c r="N67" s="140"/>
      <c r="O67" s="140"/>
    </row>
    <row r="68" spans="1:15" ht="30">
      <c r="A68" s="771" t="s">
        <v>1022</v>
      </c>
      <c r="B68" s="771" t="s">
        <v>436</v>
      </c>
      <c r="C68" s="772">
        <v>120</v>
      </c>
      <c r="D68" s="773" t="s">
        <v>1025</v>
      </c>
      <c r="E68" s="772" t="s">
        <v>196</v>
      </c>
      <c r="F68" s="772" t="s">
        <v>196</v>
      </c>
      <c r="G68" s="772" t="s">
        <v>196</v>
      </c>
      <c r="H68" s="140">
        <v>2672</v>
      </c>
      <c r="I68" s="140" t="s">
        <v>7</v>
      </c>
      <c r="J68" s="140">
        <v>1</v>
      </c>
      <c r="K68" s="140"/>
      <c r="L68" s="140"/>
      <c r="M68" s="775">
        <f>120000000/1000000</f>
        <v>120</v>
      </c>
      <c r="N68" s="140"/>
      <c r="O68" s="140"/>
    </row>
    <row r="69" spans="1:15" ht="30">
      <c r="A69" s="771" t="s">
        <v>1022</v>
      </c>
      <c r="B69" s="771" t="s">
        <v>436</v>
      </c>
      <c r="C69" s="772">
        <v>50</v>
      </c>
      <c r="D69" s="773" t="s">
        <v>1026</v>
      </c>
      <c r="E69" s="772" t="s">
        <v>196</v>
      </c>
      <c r="F69" s="772" t="s">
        <v>196</v>
      </c>
      <c r="G69" s="772" t="s">
        <v>196</v>
      </c>
      <c r="H69" s="140">
        <v>2672</v>
      </c>
      <c r="I69" s="140" t="s">
        <v>7</v>
      </c>
      <c r="J69" s="140">
        <v>1</v>
      </c>
      <c r="K69" s="140"/>
      <c r="L69" s="140"/>
      <c r="M69" s="775">
        <f>50000000/1000000</f>
        <v>50</v>
      </c>
      <c r="N69" s="140"/>
      <c r="O69" s="140"/>
    </row>
    <row r="70" spans="1:15" ht="45">
      <c r="A70" s="771" t="s">
        <v>1022</v>
      </c>
      <c r="B70" s="771" t="s">
        <v>436</v>
      </c>
      <c r="C70" s="772">
        <v>120</v>
      </c>
      <c r="D70" s="773" t="s">
        <v>1027</v>
      </c>
      <c r="E70" s="772" t="s">
        <v>196</v>
      </c>
      <c r="F70" s="772" t="s">
        <v>196</v>
      </c>
      <c r="G70" s="772" t="s">
        <v>196</v>
      </c>
      <c r="H70" s="140">
        <v>2672</v>
      </c>
      <c r="I70" s="140" t="s">
        <v>1028</v>
      </c>
      <c r="J70" s="140">
        <v>1</v>
      </c>
      <c r="K70" s="140"/>
      <c r="L70" s="140"/>
      <c r="M70" s="775">
        <f>120000000/1000000</f>
        <v>120</v>
      </c>
      <c r="N70" s="140"/>
      <c r="O70" s="140"/>
    </row>
    <row r="71" spans="1:15" ht="45">
      <c r="A71" s="771" t="s">
        <v>1029</v>
      </c>
      <c r="B71" s="771" t="s">
        <v>432</v>
      </c>
      <c r="C71" s="772">
        <v>514.5</v>
      </c>
      <c r="D71" s="773" t="s">
        <v>1030</v>
      </c>
      <c r="E71" s="782" t="s">
        <v>1031</v>
      </c>
      <c r="F71" s="145">
        <v>40722</v>
      </c>
      <c r="G71" s="145">
        <v>41817</v>
      </c>
      <c r="H71" s="140">
        <v>2671</v>
      </c>
      <c r="I71" s="140" t="s">
        <v>935</v>
      </c>
      <c r="J71" s="140">
        <v>12</v>
      </c>
      <c r="K71" s="140"/>
      <c r="L71" s="140"/>
      <c r="M71" s="775">
        <f>514500000/1000000</f>
        <v>514.5</v>
      </c>
      <c r="N71" s="140"/>
      <c r="O71" s="140"/>
    </row>
    <row r="72" spans="1:15" ht="60">
      <c r="A72" s="771" t="s">
        <v>1014</v>
      </c>
      <c r="B72" s="771" t="s">
        <v>432</v>
      </c>
      <c r="C72" s="772">
        <v>143</v>
      </c>
      <c r="D72" s="773" t="s">
        <v>1032</v>
      </c>
      <c r="E72" s="782" t="s">
        <v>1033</v>
      </c>
      <c r="F72" s="145">
        <v>40672</v>
      </c>
      <c r="G72" s="145">
        <v>41037</v>
      </c>
      <c r="H72" s="140">
        <v>2673</v>
      </c>
      <c r="I72" s="140" t="s">
        <v>1034</v>
      </c>
      <c r="J72" s="140">
        <v>12</v>
      </c>
      <c r="K72" s="140"/>
      <c r="L72" s="140"/>
      <c r="M72" s="775">
        <f>143000000/1000000</f>
        <v>143</v>
      </c>
      <c r="N72" s="140"/>
      <c r="O72" s="140"/>
    </row>
    <row r="73" spans="1:15" ht="45">
      <c r="A73" s="771" t="s">
        <v>1014</v>
      </c>
      <c r="B73" s="771" t="s">
        <v>432</v>
      </c>
      <c r="C73" s="772">
        <v>115</v>
      </c>
      <c r="D73" s="773" t="s">
        <v>1035</v>
      </c>
      <c r="E73" s="782" t="s">
        <v>1036</v>
      </c>
      <c r="F73" s="145">
        <v>40618</v>
      </c>
      <c r="G73" s="145">
        <v>40983</v>
      </c>
      <c r="H73" s="140">
        <v>2673</v>
      </c>
      <c r="I73" s="140" t="s">
        <v>1034</v>
      </c>
      <c r="J73" s="140">
        <v>12</v>
      </c>
      <c r="K73" s="140"/>
      <c r="L73" s="140"/>
      <c r="M73" s="775">
        <f>115000000/1000000</f>
        <v>115</v>
      </c>
      <c r="N73" s="140"/>
      <c r="O73" s="140"/>
    </row>
    <row r="74" spans="1:15" ht="30">
      <c r="A74" s="771" t="s">
        <v>1022</v>
      </c>
      <c r="B74" s="771" t="s">
        <v>432</v>
      </c>
      <c r="C74" s="772">
        <v>23.5</v>
      </c>
      <c r="D74" s="773" t="s">
        <v>1037</v>
      </c>
      <c r="E74" s="782" t="s">
        <v>1038</v>
      </c>
      <c r="F74" s="145">
        <v>40544</v>
      </c>
      <c r="G74" s="145">
        <v>41243</v>
      </c>
      <c r="H74" s="140">
        <v>2672</v>
      </c>
      <c r="I74" s="140" t="s">
        <v>935</v>
      </c>
      <c r="J74" s="140">
        <v>11</v>
      </c>
      <c r="K74" s="140"/>
      <c r="L74" s="140"/>
      <c r="M74" s="775">
        <f>13500000/1000000</f>
        <v>13.5</v>
      </c>
      <c r="N74" s="140"/>
      <c r="O74" s="140"/>
    </row>
    <row r="75" spans="1:15" ht="30">
      <c r="A75" s="771" t="s">
        <v>1022</v>
      </c>
      <c r="B75" s="771" t="s">
        <v>432</v>
      </c>
      <c r="C75" s="772">
        <v>477.5</v>
      </c>
      <c r="D75" s="773" t="s">
        <v>1039</v>
      </c>
      <c r="E75" s="782" t="s">
        <v>1040</v>
      </c>
      <c r="F75" s="145" t="s">
        <v>196</v>
      </c>
      <c r="G75" s="145" t="s">
        <v>196</v>
      </c>
      <c r="H75" s="140">
        <v>2672</v>
      </c>
      <c r="I75" s="140" t="s">
        <v>935</v>
      </c>
      <c r="J75" s="140">
        <v>10</v>
      </c>
      <c r="K75" s="140"/>
      <c r="L75" s="140"/>
      <c r="M75" s="775">
        <f>304800000/1000000</f>
        <v>304.8</v>
      </c>
      <c r="N75" s="140"/>
      <c r="O75" s="140"/>
    </row>
    <row r="76" spans="1:15" ht="30">
      <c r="A76" s="771" t="s">
        <v>1022</v>
      </c>
      <c r="B76" s="771" t="s">
        <v>432</v>
      </c>
      <c r="C76" s="772">
        <v>128.19999999999999</v>
      </c>
      <c r="D76" s="773" t="s">
        <v>1041</v>
      </c>
      <c r="E76" s="782" t="s">
        <v>1042</v>
      </c>
      <c r="F76" s="145">
        <v>40544</v>
      </c>
      <c r="G76" s="145">
        <v>41274</v>
      </c>
      <c r="H76" s="140">
        <v>2672</v>
      </c>
      <c r="I76" s="140" t="s">
        <v>935</v>
      </c>
      <c r="J76" s="140">
        <v>12</v>
      </c>
      <c r="K76" s="140"/>
      <c r="L76" s="140"/>
      <c r="M76" s="775">
        <v>64.099999999999994</v>
      </c>
      <c r="N76" s="140"/>
      <c r="O76" s="140"/>
    </row>
    <row r="77" spans="1:15" ht="105">
      <c r="A77" s="771" t="s">
        <v>1043</v>
      </c>
      <c r="B77" s="771" t="s">
        <v>432</v>
      </c>
      <c r="C77" s="772">
        <v>105</v>
      </c>
      <c r="D77" s="773" t="s">
        <v>1044</v>
      </c>
      <c r="E77" s="772" t="s">
        <v>196</v>
      </c>
      <c r="F77" s="772" t="s">
        <v>196</v>
      </c>
      <c r="G77" s="772" t="s">
        <v>196</v>
      </c>
      <c r="H77" s="140">
        <v>2651</v>
      </c>
      <c r="I77" s="140" t="s">
        <v>943</v>
      </c>
      <c r="J77" s="140">
        <v>7</v>
      </c>
      <c r="K77" s="140"/>
      <c r="L77" s="140"/>
      <c r="M77" s="775">
        <v>61.25</v>
      </c>
      <c r="N77" s="140"/>
      <c r="O77" s="140"/>
    </row>
    <row r="78" spans="1:15" ht="105">
      <c r="A78" s="771" t="s">
        <v>1043</v>
      </c>
      <c r="B78" s="771" t="s">
        <v>432</v>
      </c>
      <c r="C78" s="772">
        <v>47</v>
      </c>
      <c r="D78" s="773" t="s">
        <v>1045</v>
      </c>
      <c r="E78" s="772" t="s">
        <v>196</v>
      </c>
      <c r="F78" s="772" t="s">
        <v>196</v>
      </c>
      <c r="G78" s="772" t="s">
        <v>196</v>
      </c>
      <c r="H78" s="140">
        <v>2651</v>
      </c>
      <c r="I78" s="140" t="s">
        <v>943</v>
      </c>
      <c r="J78" s="140">
        <v>1</v>
      </c>
      <c r="K78" s="140"/>
      <c r="L78" s="140"/>
      <c r="M78" s="775">
        <f>3916666.66666666/1000000</f>
        <v>3.9166666666666599</v>
      </c>
      <c r="N78" s="140"/>
      <c r="O78" s="140"/>
    </row>
    <row r="79" spans="1:15" ht="45">
      <c r="A79" s="771" t="s">
        <v>1043</v>
      </c>
      <c r="B79" s="771" t="s">
        <v>432</v>
      </c>
      <c r="C79" s="772">
        <v>255</v>
      </c>
      <c r="D79" s="773" t="s">
        <v>1046</v>
      </c>
      <c r="E79" s="772" t="s">
        <v>196</v>
      </c>
      <c r="F79" s="772" t="s">
        <v>196</v>
      </c>
      <c r="G79" s="772" t="s">
        <v>196</v>
      </c>
      <c r="H79" s="140">
        <v>2651</v>
      </c>
      <c r="I79" s="140" t="s">
        <v>943</v>
      </c>
      <c r="J79" s="140">
        <v>10</v>
      </c>
      <c r="K79" s="140"/>
      <c r="L79" s="140"/>
      <c r="M79" s="775">
        <v>212.5</v>
      </c>
      <c r="N79" s="140"/>
      <c r="O79" s="140"/>
    </row>
    <row r="80" spans="1:15" ht="105">
      <c r="A80" s="771" t="s">
        <v>1043</v>
      </c>
      <c r="B80" s="771" t="s">
        <v>432</v>
      </c>
      <c r="C80" s="772">
        <v>38</v>
      </c>
      <c r="D80" s="773" t="s">
        <v>1047</v>
      </c>
      <c r="E80" s="772" t="s">
        <v>196</v>
      </c>
      <c r="F80" s="772" t="s">
        <v>196</v>
      </c>
      <c r="G80" s="772" t="s">
        <v>196</v>
      </c>
      <c r="H80" s="140">
        <v>2651</v>
      </c>
      <c r="I80" s="140" t="s">
        <v>943</v>
      </c>
      <c r="J80" s="140">
        <v>10</v>
      </c>
      <c r="K80" s="140"/>
      <c r="L80" s="140"/>
      <c r="M80" s="775">
        <f>31666666.6666666/1000000</f>
        <v>31.6666666666666</v>
      </c>
      <c r="N80" s="140"/>
      <c r="O80" s="140"/>
    </row>
    <row r="81" spans="1:15" ht="45">
      <c r="A81" s="771" t="s">
        <v>1043</v>
      </c>
      <c r="B81" s="771" t="s">
        <v>432</v>
      </c>
      <c r="C81" s="772">
        <v>90</v>
      </c>
      <c r="D81" s="773" t="s">
        <v>1048</v>
      </c>
      <c r="E81" s="772" t="s">
        <v>196</v>
      </c>
      <c r="F81" s="772" t="s">
        <v>196</v>
      </c>
      <c r="G81" s="772" t="s">
        <v>196</v>
      </c>
      <c r="H81" s="140">
        <v>2651</v>
      </c>
      <c r="I81" s="140" t="s">
        <v>943</v>
      </c>
      <c r="J81" s="140">
        <v>10</v>
      </c>
      <c r="K81" s="140"/>
      <c r="L81" s="140"/>
      <c r="M81" s="775">
        <v>75</v>
      </c>
      <c r="N81" s="140"/>
      <c r="O81" s="140"/>
    </row>
    <row r="82" spans="1:15" ht="45">
      <c r="A82" s="771" t="s">
        <v>1043</v>
      </c>
      <c r="B82" s="771" t="s">
        <v>436</v>
      </c>
      <c r="C82" s="772">
        <v>45</v>
      </c>
      <c r="D82" s="773" t="s">
        <v>1049</v>
      </c>
      <c r="E82" s="772" t="s">
        <v>196</v>
      </c>
      <c r="F82" s="772" t="s">
        <v>196</v>
      </c>
      <c r="G82" s="772" t="s">
        <v>196</v>
      </c>
      <c r="H82" s="140">
        <v>2651</v>
      </c>
      <c r="I82" s="140" t="s">
        <v>311</v>
      </c>
      <c r="J82" s="140">
        <v>1</v>
      </c>
      <c r="K82" s="140"/>
      <c r="L82" s="140"/>
      <c r="M82" s="775">
        <v>45</v>
      </c>
      <c r="N82" s="140"/>
      <c r="O82" s="140"/>
    </row>
    <row r="83" spans="1:15" ht="90">
      <c r="A83" s="771" t="s">
        <v>1043</v>
      </c>
      <c r="B83" s="771" t="s">
        <v>432</v>
      </c>
      <c r="C83" s="772">
        <v>85</v>
      </c>
      <c r="D83" s="773" t="s">
        <v>1050</v>
      </c>
      <c r="E83" s="772" t="s">
        <v>196</v>
      </c>
      <c r="F83" s="772" t="s">
        <v>196</v>
      </c>
      <c r="G83" s="772" t="s">
        <v>196</v>
      </c>
      <c r="H83" s="140">
        <v>2651</v>
      </c>
      <c r="I83" s="140" t="s">
        <v>943</v>
      </c>
      <c r="J83" s="140">
        <v>1</v>
      </c>
      <c r="K83" s="140"/>
      <c r="L83" s="140"/>
      <c r="M83" s="775">
        <f>7083333.33333333/1000000</f>
        <v>7.0833333333333304</v>
      </c>
      <c r="N83" s="140"/>
      <c r="O83" s="140"/>
    </row>
    <row r="84" spans="1:15" ht="135">
      <c r="A84" s="771" t="s">
        <v>1043</v>
      </c>
      <c r="B84" s="771" t="s">
        <v>436</v>
      </c>
      <c r="C84" s="772">
        <v>85</v>
      </c>
      <c r="D84" s="773" t="s">
        <v>1051</v>
      </c>
      <c r="E84" s="772" t="s">
        <v>196</v>
      </c>
      <c r="F84" s="772" t="s">
        <v>196</v>
      </c>
      <c r="G84" s="772" t="s">
        <v>196</v>
      </c>
      <c r="H84" s="140">
        <v>2651</v>
      </c>
      <c r="I84" s="140" t="s">
        <v>311</v>
      </c>
      <c r="J84" s="140">
        <v>1</v>
      </c>
      <c r="K84" s="140"/>
      <c r="L84" s="140"/>
      <c r="M84" s="775">
        <f>85000000/1000000</f>
        <v>85</v>
      </c>
      <c r="N84" s="140"/>
      <c r="O84" s="140"/>
    </row>
    <row r="85" spans="1:15" ht="45">
      <c r="A85" s="771" t="s">
        <v>1043</v>
      </c>
      <c r="B85" s="771" t="s">
        <v>436</v>
      </c>
      <c r="C85" s="772">
        <v>155</v>
      </c>
      <c r="D85" s="773" t="s">
        <v>1052</v>
      </c>
      <c r="E85" s="772" t="s">
        <v>196</v>
      </c>
      <c r="F85" s="772" t="s">
        <v>196</v>
      </c>
      <c r="G85" s="772" t="s">
        <v>196</v>
      </c>
      <c r="H85" s="140">
        <v>2651</v>
      </c>
      <c r="I85" s="140" t="s">
        <v>311</v>
      </c>
      <c r="J85" s="140">
        <v>1</v>
      </c>
      <c r="K85" s="140"/>
      <c r="L85" s="140"/>
      <c r="M85" s="775">
        <f>155000000/1000000</f>
        <v>155</v>
      </c>
      <c r="N85" s="140"/>
      <c r="O85" s="140"/>
    </row>
    <row r="86" spans="1:15" ht="75">
      <c r="A86" s="771" t="s">
        <v>1053</v>
      </c>
      <c r="B86" s="771" t="s">
        <v>436</v>
      </c>
      <c r="C86" s="772">
        <v>60</v>
      </c>
      <c r="D86" s="773" t="s">
        <v>1054</v>
      </c>
      <c r="E86" s="772" t="s">
        <v>196</v>
      </c>
      <c r="F86" s="772" t="s">
        <v>196</v>
      </c>
      <c r="G86" s="772" t="s">
        <v>196</v>
      </c>
      <c r="H86" s="140">
        <v>2613</v>
      </c>
      <c r="I86" s="140" t="s">
        <v>311</v>
      </c>
      <c r="J86" s="140">
        <v>1</v>
      </c>
      <c r="K86" s="140"/>
      <c r="L86" s="140"/>
      <c r="M86" s="775">
        <f>60000000/1000000</f>
        <v>60</v>
      </c>
      <c r="N86" s="140"/>
      <c r="O86" s="140"/>
    </row>
    <row r="87" spans="1:15" ht="75">
      <c r="A87" s="771" t="s">
        <v>1053</v>
      </c>
      <c r="B87" s="771" t="s">
        <v>432</v>
      </c>
      <c r="C87" s="772">
        <v>2150</v>
      </c>
      <c r="D87" s="773" t="s">
        <v>1055</v>
      </c>
      <c r="E87" s="772" t="s">
        <v>196</v>
      </c>
      <c r="F87" s="772" t="s">
        <v>196</v>
      </c>
      <c r="G87" s="772" t="s">
        <v>196</v>
      </c>
      <c r="H87" s="140">
        <v>2613</v>
      </c>
      <c r="I87" s="140" t="s">
        <v>935</v>
      </c>
      <c r="J87" s="140">
        <v>5</v>
      </c>
      <c r="K87" s="140"/>
      <c r="L87" s="140"/>
      <c r="M87" s="775">
        <f>895833333.333333/1000000</f>
        <v>895.83333333333303</v>
      </c>
      <c r="N87" s="140"/>
      <c r="O87" s="140"/>
    </row>
    <row r="88" spans="1:15" ht="60">
      <c r="A88" s="771" t="s">
        <v>1053</v>
      </c>
      <c r="B88" s="771" t="s">
        <v>436</v>
      </c>
      <c r="C88" s="772">
        <v>150</v>
      </c>
      <c r="D88" s="773" t="s">
        <v>1056</v>
      </c>
      <c r="E88" s="772" t="s">
        <v>196</v>
      </c>
      <c r="F88" s="772" t="s">
        <v>196</v>
      </c>
      <c r="G88" s="772" t="s">
        <v>196</v>
      </c>
      <c r="H88" s="140">
        <v>2613</v>
      </c>
      <c r="I88" s="140" t="s">
        <v>992</v>
      </c>
      <c r="J88" s="140">
        <v>1</v>
      </c>
      <c r="K88" s="140"/>
      <c r="L88" s="140"/>
      <c r="M88" s="775">
        <f>150000000/1000000</f>
        <v>150</v>
      </c>
      <c r="N88" s="140"/>
      <c r="O88" s="140"/>
    </row>
    <row r="89" spans="1:15" ht="45">
      <c r="A89" s="771" t="s">
        <v>1043</v>
      </c>
      <c r="B89" s="771" t="s">
        <v>436</v>
      </c>
      <c r="C89" s="772">
        <v>780</v>
      </c>
      <c r="D89" s="773" t="s">
        <v>1057</v>
      </c>
      <c r="E89" s="772" t="s">
        <v>196</v>
      </c>
      <c r="F89" s="772" t="s">
        <v>196</v>
      </c>
      <c r="G89" s="772" t="s">
        <v>196</v>
      </c>
      <c r="H89" s="140">
        <v>2651</v>
      </c>
      <c r="I89" s="140" t="s">
        <v>992</v>
      </c>
      <c r="J89" s="140">
        <v>1</v>
      </c>
      <c r="K89" s="140"/>
      <c r="L89" s="140"/>
      <c r="M89" s="775">
        <f>780000000/1000000</f>
        <v>780</v>
      </c>
      <c r="N89" s="140"/>
      <c r="O89" s="140"/>
    </row>
    <row r="90" spans="1:15" ht="45">
      <c r="A90" s="771" t="s">
        <v>1053</v>
      </c>
      <c r="B90" s="771" t="s">
        <v>436</v>
      </c>
      <c r="C90" s="772">
        <v>263</v>
      </c>
      <c r="D90" s="773" t="s">
        <v>1058</v>
      </c>
      <c r="E90" s="772" t="s">
        <v>196</v>
      </c>
      <c r="F90" s="772" t="s">
        <v>196</v>
      </c>
      <c r="G90" s="772" t="s">
        <v>196</v>
      </c>
      <c r="H90" s="140">
        <v>2613</v>
      </c>
      <c r="I90" s="140" t="s">
        <v>992</v>
      </c>
      <c r="J90" s="140">
        <v>1</v>
      </c>
      <c r="K90" s="140"/>
      <c r="L90" s="140"/>
      <c r="M90" s="775">
        <f>263000000/1000000</f>
        <v>263</v>
      </c>
      <c r="N90" s="140"/>
      <c r="O90" s="140"/>
    </row>
    <row r="91" spans="1:15" ht="45">
      <c r="A91" s="771" t="s">
        <v>1053</v>
      </c>
      <c r="B91" s="771" t="s">
        <v>436</v>
      </c>
      <c r="C91" s="772">
        <v>100</v>
      </c>
      <c r="D91" s="773" t="s">
        <v>1059</v>
      </c>
      <c r="E91" s="772" t="s">
        <v>196</v>
      </c>
      <c r="F91" s="772" t="s">
        <v>196</v>
      </c>
      <c r="G91" s="772" t="s">
        <v>196</v>
      </c>
      <c r="H91" s="140">
        <v>2613</v>
      </c>
      <c r="I91" s="140" t="s">
        <v>992</v>
      </c>
      <c r="J91" s="140">
        <v>1</v>
      </c>
      <c r="K91" s="140"/>
      <c r="L91" s="140"/>
      <c r="M91" s="775">
        <f>100000000/1000000</f>
        <v>100</v>
      </c>
      <c r="N91" s="140"/>
      <c r="O91" s="140"/>
    </row>
    <row r="92" spans="1:15" ht="45">
      <c r="A92" s="771" t="s">
        <v>1053</v>
      </c>
      <c r="B92" s="771" t="s">
        <v>436</v>
      </c>
      <c r="C92" s="772">
        <v>104</v>
      </c>
      <c r="D92" s="773" t="s">
        <v>1060</v>
      </c>
      <c r="E92" s="772" t="s">
        <v>196</v>
      </c>
      <c r="F92" s="772" t="s">
        <v>196</v>
      </c>
      <c r="G92" s="772" t="s">
        <v>196</v>
      </c>
      <c r="H92" s="140">
        <v>2613</v>
      </c>
      <c r="I92" s="140" t="s">
        <v>992</v>
      </c>
      <c r="J92" s="140">
        <v>1</v>
      </c>
      <c r="K92" s="140"/>
      <c r="L92" s="140"/>
      <c r="M92" s="775">
        <f>104000000/1000000</f>
        <v>104</v>
      </c>
      <c r="N92" s="140"/>
      <c r="O92" s="140"/>
    </row>
    <row r="93" spans="1:15" ht="30">
      <c r="A93" s="771" t="s">
        <v>1043</v>
      </c>
      <c r="B93" s="771" t="s">
        <v>436</v>
      </c>
      <c r="C93" s="772">
        <v>200</v>
      </c>
      <c r="D93" s="773" t="s">
        <v>1061</v>
      </c>
      <c r="E93" s="772" t="s">
        <v>196</v>
      </c>
      <c r="F93" s="772" t="s">
        <v>196</v>
      </c>
      <c r="G93" s="772" t="s">
        <v>196</v>
      </c>
      <c r="H93" s="140">
        <v>2651</v>
      </c>
      <c r="I93" s="140" t="s">
        <v>992</v>
      </c>
      <c r="J93" s="140">
        <v>1</v>
      </c>
      <c r="K93" s="140"/>
      <c r="L93" s="140"/>
      <c r="M93" s="775">
        <f>200000000/1000000</f>
        <v>200</v>
      </c>
      <c r="N93" s="140"/>
      <c r="O93" s="140"/>
    </row>
    <row r="94" spans="1:15" ht="60">
      <c r="A94" s="771" t="s">
        <v>1043</v>
      </c>
      <c r="B94" s="771" t="s">
        <v>436</v>
      </c>
      <c r="C94" s="772">
        <v>118</v>
      </c>
      <c r="D94" s="773" t="s">
        <v>1062</v>
      </c>
      <c r="E94" s="772" t="s">
        <v>196</v>
      </c>
      <c r="F94" s="772" t="s">
        <v>196</v>
      </c>
      <c r="G94" s="772" t="s">
        <v>196</v>
      </c>
      <c r="H94" s="140">
        <v>2651</v>
      </c>
      <c r="I94" s="140" t="s">
        <v>992</v>
      </c>
      <c r="J94" s="140">
        <v>1</v>
      </c>
      <c r="K94" s="140"/>
      <c r="L94" s="140"/>
      <c r="M94" s="775">
        <f>118000000/1000000</f>
        <v>118</v>
      </c>
      <c r="N94" s="140"/>
      <c r="O94" s="140"/>
    </row>
    <row r="95" spans="1:15" ht="30">
      <c r="A95" s="771" t="s">
        <v>1043</v>
      </c>
      <c r="B95" s="771" t="s">
        <v>436</v>
      </c>
      <c r="C95" s="772">
        <v>65</v>
      </c>
      <c r="D95" s="773" t="s">
        <v>1063</v>
      </c>
      <c r="E95" s="772" t="s">
        <v>196</v>
      </c>
      <c r="F95" s="772" t="s">
        <v>196</v>
      </c>
      <c r="G95" s="772" t="s">
        <v>196</v>
      </c>
      <c r="H95" s="140">
        <v>2651</v>
      </c>
      <c r="I95" s="140" t="s">
        <v>992</v>
      </c>
      <c r="J95" s="140">
        <v>1</v>
      </c>
      <c r="K95" s="140"/>
      <c r="L95" s="140"/>
      <c r="M95" s="775">
        <f>65000000/1000000</f>
        <v>65</v>
      </c>
      <c r="N95" s="140"/>
      <c r="O95" s="140"/>
    </row>
    <row r="96" spans="1:15" ht="30">
      <c r="A96" s="771" t="s">
        <v>1053</v>
      </c>
      <c r="B96" s="771" t="s">
        <v>436</v>
      </c>
      <c r="C96" s="772">
        <v>125</v>
      </c>
      <c r="D96" s="773" t="s">
        <v>1064</v>
      </c>
      <c r="E96" s="772" t="s">
        <v>196</v>
      </c>
      <c r="F96" s="772" t="s">
        <v>196</v>
      </c>
      <c r="G96" s="772" t="s">
        <v>196</v>
      </c>
      <c r="H96" s="140">
        <v>2613</v>
      </c>
      <c r="I96" s="140" t="s">
        <v>7</v>
      </c>
      <c r="J96" s="140">
        <v>1</v>
      </c>
      <c r="K96" s="140"/>
      <c r="L96" s="140"/>
      <c r="M96" s="775">
        <f>125000000/1000000</f>
        <v>125</v>
      </c>
      <c r="N96" s="140"/>
      <c r="O96" s="140"/>
    </row>
    <row r="97" spans="1:15" ht="30">
      <c r="A97" s="771" t="s">
        <v>1053</v>
      </c>
      <c r="B97" s="771" t="s">
        <v>436</v>
      </c>
      <c r="C97" s="772">
        <v>100</v>
      </c>
      <c r="D97" s="773" t="s">
        <v>1065</v>
      </c>
      <c r="E97" s="772" t="s">
        <v>196</v>
      </c>
      <c r="F97" s="772" t="s">
        <v>196</v>
      </c>
      <c r="G97" s="772" t="s">
        <v>196</v>
      </c>
      <c r="H97" s="140">
        <v>2613</v>
      </c>
      <c r="I97" s="140" t="s">
        <v>992</v>
      </c>
      <c r="J97" s="140">
        <v>1</v>
      </c>
      <c r="K97" s="140"/>
      <c r="L97" s="140"/>
      <c r="M97" s="775">
        <f>100000000/1000000</f>
        <v>100</v>
      </c>
      <c r="N97" s="140"/>
      <c r="O97" s="140"/>
    </row>
    <row r="98" spans="1:15" ht="45">
      <c r="A98" s="771" t="s">
        <v>1043</v>
      </c>
      <c r="B98" s="771" t="s">
        <v>436</v>
      </c>
      <c r="C98" s="772">
        <v>414</v>
      </c>
      <c r="D98" s="773" t="s">
        <v>1066</v>
      </c>
      <c r="E98" s="772" t="s">
        <v>196</v>
      </c>
      <c r="F98" s="772" t="s">
        <v>196</v>
      </c>
      <c r="G98" s="772" t="s">
        <v>196</v>
      </c>
      <c r="H98" s="140">
        <v>2651</v>
      </c>
      <c r="I98" s="140" t="s">
        <v>992</v>
      </c>
      <c r="J98" s="140">
        <v>1</v>
      </c>
      <c r="K98" s="140"/>
      <c r="L98" s="140"/>
      <c r="M98" s="775">
        <f>414000000/1000000</f>
        <v>414</v>
      </c>
      <c r="N98" s="140"/>
      <c r="O98" s="140"/>
    </row>
    <row r="99" spans="1:15" ht="60">
      <c r="A99" s="771" t="s">
        <v>1053</v>
      </c>
      <c r="B99" s="771" t="s">
        <v>432</v>
      </c>
      <c r="C99" s="772">
        <v>1189.94</v>
      </c>
      <c r="D99" s="773" t="s">
        <v>1067</v>
      </c>
      <c r="E99" s="772" t="s">
        <v>196</v>
      </c>
      <c r="F99" s="772" t="s">
        <v>196</v>
      </c>
      <c r="G99" s="772" t="s">
        <v>196</v>
      </c>
      <c r="H99" s="140">
        <v>2613</v>
      </c>
      <c r="I99" s="140" t="s">
        <v>935</v>
      </c>
      <c r="J99" s="140">
        <v>4</v>
      </c>
      <c r="K99" s="140"/>
      <c r="L99" s="140"/>
      <c r="M99" s="775">
        <f>396646666.666666/1000000</f>
        <v>396.64666666666596</v>
      </c>
      <c r="N99" s="140"/>
      <c r="O99" s="140"/>
    </row>
    <row r="100" spans="1:15" ht="75">
      <c r="A100" s="771" t="s">
        <v>1053</v>
      </c>
      <c r="B100" s="771" t="s">
        <v>432</v>
      </c>
      <c r="C100" s="772">
        <v>1527.59</v>
      </c>
      <c r="D100" s="773" t="s">
        <v>1055</v>
      </c>
      <c r="E100" s="787" t="s">
        <v>1068</v>
      </c>
      <c r="F100" s="145">
        <v>40013</v>
      </c>
      <c r="G100" s="145">
        <v>41108</v>
      </c>
      <c r="H100" s="140">
        <v>2613</v>
      </c>
      <c r="I100" s="140" t="s">
        <v>935</v>
      </c>
      <c r="J100" s="140">
        <v>7</v>
      </c>
      <c r="K100" s="140"/>
      <c r="L100" s="140"/>
      <c r="M100" s="775">
        <f>782624302/1000000</f>
        <v>782.62430199999994</v>
      </c>
      <c r="N100" s="140"/>
      <c r="O100" s="140"/>
    </row>
    <row r="101" spans="1:15" ht="15" customHeight="1">
      <c r="A101" s="771" t="s">
        <v>1053</v>
      </c>
      <c r="B101" s="771" t="s">
        <v>432</v>
      </c>
      <c r="C101" s="772">
        <v>1143.3900000000001</v>
      </c>
      <c r="D101" s="773" t="s">
        <v>1069</v>
      </c>
      <c r="E101" s="787" t="s">
        <v>1070</v>
      </c>
      <c r="F101" s="145">
        <v>40771</v>
      </c>
      <c r="G101" s="145">
        <v>41136</v>
      </c>
      <c r="H101" s="140">
        <v>2613</v>
      </c>
      <c r="I101" s="140" t="s">
        <v>935</v>
      </c>
      <c r="J101" s="140">
        <v>8</v>
      </c>
      <c r="K101" s="140"/>
      <c r="L101" s="140"/>
      <c r="M101" s="775">
        <f>381263354/1000000</f>
        <v>381.26335399999999</v>
      </c>
      <c r="N101" s="140"/>
      <c r="O101" s="140"/>
    </row>
    <row r="102" spans="1:15" ht="105">
      <c r="A102" s="771" t="s">
        <v>1043</v>
      </c>
      <c r="B102" s="771" t="s">
        <v>432</v>
      </c>
      <c r="C102" s="772">
        <v>96.44</v>
      </c>
      <c r="D102" s="773" t="s">
        <v>1044</v>
      </c>
      <c r="E102" s="787" t="s">
        <v>1071</v>
      </c>
      <c r="F102" s="145">
        <v>40314</v>
      </c>
      <c r="G102" s="145">
        <v>41044</v>
      </c>
      <c r="H102" s="140">
        <v>2651</v>
      </c>
      <c r="I102" s="140" t="s">
        <v>943</v>
      </c>
      <c r="J102" s="140">
        <v>5</v>
      </c>
      <c r="K102" s="140"/>
      <c r="L102" s="140"/>
      <c r="M102" s="775">
        <f>8775759/1000000</f>
        <v>8.7757590000000008</v>
      </c>
      <c r="N102" s="140"/>
      <c r="O102" s="140"/>
    </row>
    <row r="103" spans="1:15" ht="90">
      <c r="A103" s="771" t="s">
        <v>1043</v>
      </c>
      <c r="B103" s="771" t="s">
        <v>432</v>
      </c>
      <c r="C103" s="772">
        <v>47.93</v>
      </c>
      <c r="D103" s="773" t="s">
        <v>1072</v>
      </c>
      <c r="E103" s="787" t="s">
        <v>1073</v>
      </c>
      <c r="F103" s="145">
        <v>40146</v>
      </c>
      <c r="G103" s="145">
        <v>41241</v>
      </c>
      <c r="H103" s="140">
        <v>2651</v>
      </c>
      <c r="I103" s="140" t="s">
        <v>943</v>
      </c>
      <c r="J103" s="140">
        <v>11</v>
      </c>
      <c r="K103" s="140"/>
      <c r="L103" s="140"/>
      <c r="M103" s="775">
        <f>(3745440+612000)*11/1000000</f>
        <v>47.931840000000001</v>
      </c>
      <c r="N103" s="140"/>
      <c r="O103" s="140"/>
    </row>
    <row r="104" spans="1:15" ht="90">
      <c r="A104" s="771" t="s">
        <v>1043</v>
      </c>
      <c r="B104" s="771" t="s">
        <v>432</v>
      </c>
      <c r="C104" s="772">
        <v>66.3</v>
      </c>
      <c r="D104" s="773" t="s">
        <v>1074</v>
      </c>
      <c r="E104" s="787" t="s">
        <v>1075</v>
      </c>
      <c r="F104" s="145">
        <v>40437</v>
      </c>
      <c r="G104" s="145">
        <v>40983</v>
      </c>
      <c r="H104" s="140">
        <v>2651</v>
      </c>
      <c r="I104" s="140" t="s">
        <v>943</v>
      </c>
      <c r="J104" s="140">
        <v>3</v>
      </c>
      <c r="K104" s="140"/>
      <c r="L104" s="140"/>
      <c r="M104" s="775">
        <f>5360273.918/1000000</f>
        <v>5.3602739179999999</v>
      </c>
      <c r="N104" s="140"/>
      <c r="O104" s="140"/>
    </row>
    <row r="105" spans="1:15" ht="15" customHeight="1">
      <c r="A105" s="771" t="s">
        <v>1043</v>
      </c>
      <c r="B105" s="771" t="s">
        <v>432</v>
      </c>
      <c r="C105" s="772">
        <v>108.3</v>
      </c>
      <c r="D105" s="773" t="s">
        <v>1076</v>
      </c>
      <c r="E105" s="787" t="s">
        <v>1077</v>
      </c>
      <c r="F105" s="145">
        <v>40437</v>
      </c>
      <c r="G105" s="145">
        <v>40983</v>
      </c>
      <c r="H105" s="140">
        <v>2651</v>
      </c>
      <c r="I105" s="140" t="s">
        <v>943</v>
      </c>
      <c r="J105" s="140">
        <v>3</v>
      </c>
      <c r="K105" s="140"/>
      <c r="L105" s="140"/>
      <c r="M105" s="775">
        <f>49173469.28/1000000</f>
        <v>49.173469279999999</v>
      </c>
      <c r="N105" s="140"/>
      <c r="O105" s="140"/>
    </row>
    <row r="106" spans="1:15" ht="90">
      <c r="A106" s="771" t="s">
        <v>1043</v>
      </c>
      <c r="B106" s="771" t="s">
        <v>432</v>
      </c>
      <c r="C106" s="772">
        <v>3756</v>
      </c>
      <c r="D106" s="773" t="s">
        <v>1078</v>
      </c>
      <c r="E106" s="787" t="s">
        <v>1079</v>
      </c>
      <c r="F106" s="145">
        <v>40472</v>
      </c>
      <c r="G106" s="145">
        <v>41567</v>
      </c>
      <c r="H106" s="140">
        <v>2651</v>
      </c>
      <c r="I106" s="140" t="s">
        <v>943</v>
      </c>
      <c r="J106" s="140">
        <v>12</v>
      </c>
      <c r="K106" s="140"/>
      <c r="L106" s="140"/>
      <c r="M106" s="775">
        <f>735357751/1000000</f>
        <v>735.35775100000001</v>
      </c>
      <c r="N106" s="140"/>
      <c r="O106" s="140"/>
    </row>
    <row r="107" spans="1:15" ht="90">
      <c r="A107" s="771" t="s">
        <v>1043</v>
      </c>
      <c r="B107" s="771" t="s">
        <v>432</v>
      </c>
      <c r="C107" s="772">
        <v>81.599999999999994</v>
      </c>
      <c r="D107" s="773" t="s">
        <v>1080</v>
      </c>
      <c r="E107" s="787" t="s">
        <v>1081</v>
      </c>
      <c r="F107" s="145">
        <v>40148</v>
      </c>
      <c r="G107" s="145">
        <v>41243</v>
      </c>
      <c r="H107" s="140">
        <v>2651</v>
      </c>
      <c r="I107" s="140" t="s">
        <v>943</v>
      </c>
      <c r="J107" s="140">
        <v>11</v>
      </c>
      <c r="K107" s="140"/>
      <c r="L107" s="140"/>
      <c r="M107" s="775">
        <f>6800000*11/1000000</f>
        <v>74.8</v>
      </c>
      <c r="N107" s="140"/>
      <c r="O107" s="140"/>
    </row>
    <row r="108" spans="1:15" ht="30">
      <c r="A108" s="771" t="s">
        <v>1082</v>
      </c>
      <c r="B108" s="771" t="s">
        <v>436</v>
      </c>
      <c r="C108" s="772">
        <v>742.4</v>
      </c>
      <c r="D108" s="773" t="s">
        <v>1083</v>
      </c>
      <c r="E108" s="772" t="s">
        <v>196</v>
      </c>
      <c r="F108" s="772" t="s">
        <v>196</v>
      </c>
      <c r="G108" s="772" t="s">
        <v>196</v>
      </c>
      <c r="H108" s="140">
        <v>2639</v>
      </c>
      <c r="I108" s="140" t="s">
        <v>7</v>
      </c>
      <c r="J108" s="140">
        <v>2</v>
      </c>
      <c r="K108" s="140"/>
      <c r="L108" s="140"/>
      <c r="M108" s="775">
        <f>742400000/1000000</f>
        <v>742.4</v>
      </c>
      <c r="N108" s="140"/>
      <c r="O108" s="140"/>
    </row>
    <row r="109" spans="1:15" ht="30">
      <c r="A109" s="771" t="s">
        <v>1082</v>
      </c>
      <c r="B109" s="771" t="s">
        <v>436</v>
      </c>
      <c r="C109" s="772">
        <v>932.64</v>
      </c>
      <c r="D109" s="773" t="s">
        <v>1084</v>
      </c>
      <c r="E109" s="772" t="s">
        <v>196</v>
      </c>
      <c r="F109" s="772" t="s">
        <v>196</v>
      </c>
      <c r="G109" s="772" t="s">
        <v>196</v>
      </c>
      <c r="H109" s="140">
        <v>2639</v>
      </c>
      <c r="I109" s="140" t="s">
        <v>7</v>
      </c>
      <c r="J109" s="140">
        <v>9</v>
      </c>
      <c r="K109" s="140"/>
      <c r="L109" s="140"/>
      <c r="M109" s="775">
        <f>932640000/1000000</f>
        <v>932.64</v>
      </c>
      <c r="N109" s="140"/>
      <c r="O109" s="140"/>
    </row>
    <row r="110" spans="1:15" ht="30">
      <c r="A110" s="771" t="s">
        <v>1082</v>
      </c>
      <c r="B110" s="771" t="s">
        <v>436</v>
      </c>
      <c r="C110" s="772">
        <v>116</v>
      </c>
      <c r="D110" s="773" t="s">
        <v>1085</v>
      </c>
      <c r="E110" s="772" t="s">
        <v>196</v>
      </c>
      <c r="F110" s="772" t="s">
        <v>196</v>
      </c>
      <c r="G110" s="772" t="s">
        <v>196</v>
      </c>
      <c r="H110" s="140">
        <v>2639</v>
      </c>
      <c r="I110" s="140" t="s">
        <v>1086</v>
      </c>
      <c r="J110" s="140">
        <v>1</v>
      </c>
      <c r="K110" s="140"/>
      <c r="L110" s="140"/>
      <c r="M110" s="775">
        <f>116000000/1000000</f>
        <v>116</v>
      </c>
      <c r="N110" s="140"/>
      <c r="O110" s="140"/>
    </row>
    <row r="111" spans="1:15" ht="15" customHeight="1">
      <c r="A111" s="771" t="s">
        <v>1082</v>
      </c>
      <c r="B111" s="771" t="s">
        <v>436</v>
      </c>
      <c r="C111" s="772">
        <v>52.06</v>
      </c>
      <c r="D111" s="773" t="s">
        <v>1087</v>
      </c>
      <c r="E111" s="772" t="s">
        <v>196</v>
      </c>
      <c r="F111" s="772" t="s">
        <v>196</v>
      </c>
      <c r="G111" s="772" t="s">
        <v>196</v>
      </c>
      <c r="H111" s="140">
        <v>2639</v>
      </c>
      <c r="I111" s="140" t="s">
        <v>7</v>
      </c>
      <c r="J111" s="140">
        <v>4</v>
      </c>
      <c r="K111" s="140"/>
      <c r="L111" s="140"/>
      <c r="M111" s="775">
        <f>52060000/1000000</f>
        <v>52.06</v>
      </c>
      <c r="N111" s="140"/>
      <c r="O111" s="140"/>
    </row>
    <row r="112" spans="1:15" ht="45">
      <c r="A112" s="771" t="s">
        <v>1082</v>
      </c>
      <c r="B112" s="771" t="s">
        <v>436</v>
      </c>
      <c r="C112" s="772">
        <v>117.79</v>
      </c>
      <c r="D112" s="773" t="s">
        <v>1088</v>
      </c>
      <c r="E112" s="772" t="s">
        <v>196</v>
      </c>
      <c r="F112" s="772" t="s">
        <v>196</v>
      </c>
      <c r="G112" s="772" t="s">
        <v>196</v>
      </c>
      <c r="H112" s="140">
        <v>2639</v>
      </c>
      <c r="I112" s="140" t="s">
        <v>7</v>
      </c>
      <c r="J112" s="140">
        <v>2</v>
      </c>
      <c r="K112" s="140"/>
      <c r="L112" s="140"/>
      <c r="M112" s="775">
        <f>117790244/1000000</f>
        <v>117.790244</v>
      </c>
      <c r="N112" s="140"/>
      <c r="O112" s="140"/>
    </row>
    <row r="113" spans="1:15" ht="45">
      <c r="A113" s="771" t="s">
        <v>1082</v>
      </c>
      <c r="B113" s="771" t="s">
        <v>436</v>
      </c>
      <c r="C113" s="772">
        <v>165</v>
      </c>
      <c r="D113" s="773" t="s">
        <v>1089</v>
      </c>
      <c r="E113" s="772" t="s">
        <v>196</v>
      </c>
      <c r="F113" s="772" t="s">
        <v>196</v>
      </c>
      <c r="G113" s="772" t="s">
        <v>196</v>
      </c>
      <c r="H113" s="140">
        <v>2639</v>
      </c>
      <c r="I113" s="140" t="s">
        <v>7</v>
      </c>
      <c r="J113" s="140">
        <v>1</v>
      </c>
      <c r="K113" s="140"/>
      <c r="L113" s="140"/>
      <c r="M113" s="775">
        <f>165000000/1000000</f>
        <v>165</v>
      </c>
      <c r="N113" s="140"/>
      <c r="O113" s="140"/>
    </row>
    <row r="114" spans="1:15" ht="60">
      <c r="A114" s="771" t="s">
        <v>1082</v>
      </c>
      <c r="B114" s="771" t="s">
        <v>436</v>
      </c>
      <c r="C114" s="772">
        <v>300</v>
      </c>
      <c r="D114" s="773" t="s">
        <v>1090</v>
      </c>
      <c r="E114" s="772" t="s">
        <v>196</v>
      </c>
      <c r="F114" s="772" t="s">
        <v>196</v>
      </c>
      <c r="G114" s="772" t="s">
        <v>196</v>
      </c>
      <c r="H114" s="140">
        <v>2639</v>
      </c>
      <c r="I114" s="140" t="s">
        <v>992</v>
      </c>
      <c r="J114" s="140">
        <v>1</v>
      </c>
      <c r="K114" s="140"/>
      <c r="L114" s="140"/>
      <c r="M114" s="775">
        <f>300000000/1000000</f>
        <v>300</v>
      </c>
      <c r="N114" s="140"/>
      <c r="O114" s="140"/>
    </row>
    <row r="115" spans="1:15" ht="45">
      <c r="A115" s="771" t="s">
        <v>1082</v>
      </c>
      <c r="B115" s="771" t="s">
        <v>436</v>
      </c>
      <c r="C115" s="772">
        <v>100.1</v>
      </c>
      <c r="D115" s="773" t="s">
        <v>1091</v>
      </c>
      <c r="E115" s="772" t="s">
        <v>196</v>
      </c>
      <c r="F115" s="772" t="s">
        <v>196</v>
      </c>
      <c r="G115" s="772" t="s">
        <v>196</v>
      </c>
      <c r="H115" s="140">
        <v>2639</v>
      </c>
      <c r="I115" s="140" t="s">
        <v>1086</v>
      </c>
      <c r="J115" s="140">
        <v>1</v>
      </c>
      <c r="K115" s="140"/>
      <c r="L115" s="140"/>
      <c r="M115" s="775">
        <f>100400000/1000000</f>
        <v>100.4</v>
      </c>
      <c r="N115" s="140"/>
      <c r="O115" s="140"/>
    </row>
    <row r="116" spans="1:15" ht="30">
      <c r="A116" s="771" t="s">
        <v>1092</v>
      </c>
      <c r="B116" s="771" t="s">
        <v>436</v>
      </c>
      <c r="C116" s="772">
        <v>17.8</v>
      </c>
      <c r="D116" s="773" t="s">
        <v>1093</v>
      </c>
      <c r="E116" s="772" t="s">
        <v>196</v>
      </c>
      <c r="F116" s="772" t="s">
        <v>196</v>
      </c>
      <c r="G116" s="772" t="s">
        <v>196</v>
      </c>
      <c r="H116" s="140">
        <v>2633</v>
      </c>
      <c r="I116" s="140" t="s">
        <v>935</v>
      </c>
      <c r="J116" s="140">
        <v>1</v>
      </c>
      <c r="K116" s="140"/>
      <c r="L116" s="140"/>
      <c r="M116" s="775">
        <f>1780000/1000000</f>
        <v>1.78</v>
      </c>
      <c r="N116" s="140"/>
      <c r="O116" s="140"/>
    </row>
    <row r="117" spans="1:15" ht="60">
      <c r="A117" s="771" t="s">
        <v>1092</v>
      </c>
      <c r="B117" s="771" t="s">
        <v>436</v>
      </c>
      <c r="C117" s="772">
        <v>185.2</v>
      </c>
      <c r="D117" s="773" t="s">
        <v>1094</v>
      </c>
      <c r="E117" s="772" t="s">
        <v>196</v>
      </c>
      <c r="F117" s="772" t="s">
        <v>196</v>
      </c>
      <c r="G117" s="772" t="s">
        <v>196</v>
      </c>
      <c r="H117" s="140">
        <v>2633</v>
      </c>
      <c r="I117" s="140" t="s">
        <v>943</v>
      </c>
      <c r="J117" s="140">
        <v>3</v>
      </c>
      <c r="K117" s="140"/>
      <c r="L117" s="140"/>
      <c r="M117" s="775">
        <f>46300000/1000000</f>
        <v>46.3</v>
      </c>
      <c r="N117" s="140"/>
      <c r="O117" s="140"/>
    </row>
    <row r="118" spans="1:15" ht="60">
      <c r="A118" s="771" t="s">
        <v>1092</v>
      </c>
      <c r="B118" s="771" t="s">
        <v>432</v>
      </c>
      <c r="C118" s="772">
        <v>101.77</v>
      </c>
      <c r="D118" s="773" t="s">
        <v>1095</v>
      </c>
      <c r="E118" s="772" t="s">
        <v>196</v>
      </c>
      <c r="F118" s="772" t="s">
        <v>196</v>
      </c>
      <c r="G118" s="772" t="s">
        <v>196</v>
      </c>
      <c r="H118" s="140">
        <v>2633</v>
      </c>
      <c r="I118" s="140" t="s">
        <v>943</v>
      </c>
      <c r="J118" s="140">
        <v>1</v>
      </c>
      <c r="K118" s="140"/>
      <c r="L118" s="140"/>
      <c r="M118" s="775">
        <f>8481583.33333333/1000000</f>
        <v>8.4815833333333295</v>
      </c>
      <c r="N118" s="140"/>
      <c r="O118" s="140"/>
    </row>
    <row r="119" spans="1:15" ht="90">
      <c r="A119" s="771" t="s">
        <v>1092</v>
      </c>
      <c r="B119" s="771" t="s">
        <v>432</v>
      </c>
      <c r="C119" s="772">
        <v>239.3</v>
      </c>
      <c r="D119" s="773" t="s">
        <v>1096</v>
      </c>
      <c r="E119" s="772" t="s">
        <v>196</v>
      </c>
      <c r="F119" s="772" t="s">
        <v>196</v>
      </c>
      <c r="G119" s="772" t="s">
        <v>196</v>
      </c>
      <c r="H119" s="140">
        <v>2633</v>
      </c>
      <c r="I119" s="140" t="s">
        <v>943</v>
      </c>
      <c r="J119" s="140">
        <v>5</v>
      </c>
      <c r="K119" s="140"/>
      <c r="L119" s="140"/>
      <c r="M119" s="775">
        <f>99708333.3333333/1000000</f>
        <v>99.7083333333333</v>
      </c>
      <c r="N119" s="140"/>
      <c r="O119" s="140"/>
    </row>
    <row r="120" spans="1:15" ht="45">
      <c r="A120" s="771" t="s">
        <v>1092</v>
      </c>
      <c r="B120" s="771" t="s">
        <v>436</v>
      </c>
      <c r="C120" s="772">
        <v>78.400000000000006</v>
      </c>
      <c r="D120" s="773" t="s">
        <v>1097</v>
      </c>
      <c r="E120" s="772" t="s">
        <v>196</v>
      </c>
      <c r="F120" s="772" t="s">
        <v>196</v>
      </c>
      <c r="G120" s="772" t="s">
        <v>196</v>
      </c>
      <c r="H120" s="140">
        <v>2633</v>
      </c>
      <c r="I120" s="140" t="s">
        <v>935</v>
      </c>
      <c r="J120" s="140">
        <v>6</v>
      </c>
      <c r="K120" s="140"/>
      <c r="L120" s="140"/>
      <c r="M120" s="775">
        <v>78.400000000000006</v>
      </c>
      <c r="N120" s="140"/>
      <c r="O120" s="140"/>
    </row>
    <row r="121" spans="1:15" ht="60">
      <c r="A121" s="771" t="s">
        <v>1092</v>
      </c>
      <c r="B121" s="771" t="s">
        <v>432</v>
      </c>
      <c r="C121" s="772">
        <v>659.3</v>
      </c>
      <c r="D121" s="773" t="s">
        <v>1098</v>
      </c>
      <c r="E121" s="772" t="s">
        <v>196</v>
      </c>
      <c r="F121" s="772" t="s">
        <v>196</v>
      </c>
      <c r="G121" s="772" t="s">
        <v>196</v>
      </c>
      <c r="H121" s="140">
        <v>2633</v>
      </c>
      <c r="I121" s="140" t="s">
        <v>943</v>
      </c>
      <c r="J121" s="140">
        <v>4</v>
      </c>
      <c r="K121" s="140"/>
      <c r="L121" s="140"/>
      <c r="M121" s="775">
        <f>219766666.666666/1000000</f>
        <v>219.766666666666</v>
      </c>
      <c r="N121" s="140"/>
      <c r="O121" s="140"/>
    </row>
    <row r="122" spans="1:15" ht="45">
      <c r="A122" s="771" t="s">
        <v>1092</v>
      </c>
      <c r="B122" s="771" t="s">
        <v>432</v>
      </c>
      <c r="C122" s="772">
        <v>335</v>
      </c>
      <c r="D122" s="773" t="s">
        <v>1099</v>
      </c>
      <c r="E122" s="772" t="s">
        <v>196</v>
      </c>
      <c r="F122" s="772" t="s">
        <v>196</v>
      </c>
      <c r="G122" s="772" t="s">
        <v>196</v>
      </c>
      <c r="H122" s="140">
        <v>2633</v>
      </c>
      <c r="I122" s="140" t="s">
        <v>943</v>
      </c>
      <c r="J122" s="140">
        <v>1</v>
      </c>
      <c r="K122" s="140"/>
      <c r="L122" s="140"/>
      <c r="M122" s="775">
        <f>27916666.6666666/1000000</f>
        <v>27.9166666666666</v>
      </c>
      <c r="N122" s="140"/>
      <c r="O122" s="140"/>
    </row>
    <row r="123" spans="1:15" ht="45">
      <c r="A123" s="771" t="s">
        <v>1100</v>
      </c>
      <c r="B123" s="771" t="s">
        <v>436</v>
      </c>
      <c r="C123" s="772">
        <v>65</v>
      </c>
      <c r="D123" s="773" t="s">
        <v>1101</v>
      </c>
      <c r="E123" s="772" t="s">
        <v>196</v>
      </c>
      <c r="F123" s="772" t="s">
        <v>196</v>
      </c>
      <c r="G123" s="772" t="s">
        <v>196</v>
      </c>
      <c r="H123" s="140">
        <v>2656</v>
      </c>
      <c r="I123" s="140" t="s">
        <v>932</v>
      </c>
      <c r="J123" s="140">
        <v>2</v>
      </c>
      <c r="K123" s="140"/>
      <c r="L123" s="140"/>
      <c r="M123" s="775">
        <f>65000000/1000000</f>
        <v>65</v>
      </c>
      <c r="N123" s="140"/>
      <c r="O123" s="140"/>
    </row>
    <row r="124" spans="1:15" ht="60">
      <c r="A124" s="771" t="s">
        <v>1100</v>
      </c>
      <c r="B124" s="771" t="s">
        <v>436</v>
      </c>
      <c r="C124" s="772">
        <v>1500</v>
      </c>
      <c r="D124" s="773" t="s">
        <v>1102</v>
      </c>
      <c r="E124" s="772" t="s">
        <v>196</v>
      </c>
      <c r="F124" s="772" t="s">
        <v>196</v>
      </c>
      <c r="G124" s="772" t="s">
        <v>196</v>
      </c>
      <c r="H124" s="140">
        <v>2656</v>
      </c>
      <c r="I124" s="140" t="s">
        <v>992</v>
      </c>
      <c r="J124" s="140">
        <v>1</v>
      </c>
      <c r="K124" s="140"/>
      <c r="L124" s="140"/>
      <c r="M124" s="775">
        <f>1500000000/1000000</f>
        <v>1500</v>
      </c>
      <c r="N124" s="140"/>
      <c r="O124" s="140"/>
    </row>
    <row r="125" spans="1:15" ht="60">
      <c r="A125" s="771" t="s">
        <v>1100</v>
      </c>
      <c r="B125" s="771" t="s">
        <v>436</v>
      </c>
      <c r="C125" s="772">
        <v>350</v>
      </c>
      <c r="D125" s="773" t="s">
        <v>1103</v>
      </c>
      <c r="E125" s="772" t="s">
        <v>196</v>
      </c>
      <c r="F125" s="772" t="s">
        <v>196</v>
      </c>
      <c r="G125" s="772" t="s">
        <v>196</v>
      </c>
      <c r="H125" s="140">
        <v>2656</v>
      </c>
      <c r="I125" s="140" t="s">
        <v>999</v>
      </c>
      <c r="J125" s="140">
        <v>1</v>
      </c>
      <c r="K125" s="140"/>
      <c r="L125" s="140"/>
      <c r="M125" s="775">
        <f>350000000/1000000</f>
        <v>350</v>
      </c>
      <c r="N125" s="140"/>
      <c r="O125" s="140"/>
    </row>
    <row r="126" spans="1:15" ht="60">
      <c r="A126" s="771" t="s">
        <v>1104</v>
      </c>
      <c r="B126" s="771" t="s">
        <v>436</v>
      </c>
      <c r="C126" s="772">
        <v>2900</v>
      </c>
      <c r="D126" s="773" t="s">
        <v>1105</v>
      </c>
      <c r="E126" s="772" t="s">
        <v>196</v>
      </c>
      <c r="F126" s="772" t="s">
        <v>196</v>
      </c>
      <c r="G126" s="772" t="s">
        <v>196</v>
      </c>
      <c r="H126" s="140">
        <v>2656</v>
      </c>
      <c r="I126" s="140" t="s">
        <v>992</v>
      </c>
      <c r="J126" s="140">
        <v>1</v>
      </c>
      <c r="K126" s="140"/>
      <c r="L126" s="140"/>
      <c r="M126" s="775">
        <f>2900000000/1000000</f>
        <v>2900</v>
      </c>
      <c r="N126" s="140"/>
      <c r="O126" s="140"/>
    </row>
    <row r="127" spans="1:15" ht="60">
      <c r="A127" s="771" t="s">
        <v>1106</v>
      </c>
      <c r="B127" s="771" t="s">
        <v>436</v>
      </c>
      <c r="C127" s="772">
        <v>3200</v>
      </c>
      <c r="D127" s="773" t="s">
        <v>1107</v>
      </c>
      <c r="E127" s="772" t="s">
        <v>196</v>
      </c>
      <c r="F127" s="772" t="s">
        <v>196</v>
      </c>
      <c r="G127" s="772" t="s">
        <v>196</v>
      </c>
      <c r="H127" s="140">
        <v>2656</v>
      </c>
      <c r="I127" s="140" t="s">
        <v>992</v>
      </c>
      <c r="J127" s="140">
        <v>1</v>
      </c>
      <c r="K127" s="140"/>
      <c r="L127" s="140"/>
      <c r="M127" s="775">
        <f>3200000000/1000000</f>
        <v>3200</v>
      </c>
      <c r="N127" s="140"/>
      <c r="O127" s="140"/>
    </row>
    <row r="128" spans="1:15" ht="45">
      <c r="A128" s="137" t="s">
        <v>1108</v>
      </c>
      <c r="B128" s="788" t="s">
        <v>251</v>
      </c>
      <c r="C128" s="138">
        <f>30000000/1000000</f>
        <v>30</v>
      </c>
      <c r="D128" s="773" t="s">
        <v>252</v>
      </c>
      <c r="E128" s="789" t="s">
        <v>253</v>
      </c>
      <c r="F128" s="139">
        <v>40969</v>
      </c>
      <c r="G128" s="139">
        <v>41000</v>
      </c>
      <c r="H128" s="788">
        <v>7555</v>
      </c>
      <c r="I128" s="788" t="s">
        <v>254</v>
      </c>
      <c r="J128" s="788" t="s">
        <v>255</v>
      </c>
      <c r="K128" s="140"/>
      <c r="L128" s="140"/>
      <c r="M128" s="141">
        <f>(47560000+30160000)/1000000</f>
        <v>77.72</v>
      </c>
      <c r="N128" s="140"/>
      <c r="O128" s="140"/>
    </row>
    <row r="129" spans="1:15" ht="45">
      <c r="A129" s="137" t="s">
        <v>1108</v>
      </c>
      <c r="B129" s="788" t="s">
        <v>251</v>
      </c>
      <c r="C129" s="138">
        <f>30000000/1000000</f>
        <v>30</v>
      </c>
      <c r="D129" s="773" t="s">
        <v>256</v>
      </c>
      <c r="E129" s="789" t="s">
        <v>253</v>
      </c>
      <c r="F129" s="139">
        <v>41183</v>
      </c>
      <c r="G129" s="139">
        <v>41214</v>
      </c>
      <c r="H129" s="788">
        <v>7555</v>
      </c>
      <c r="I129" s="788" t="s">
        <v>254</v>
      </c>
      <c r="J129" s="788" t="s">
        <v>257</v>
      </c>
      <c r="K129" s="790"/>
      <c r="L129" s="790"/>
      <c r="M129" s="141">
        <f>(52200000+29000000)/1000000</f>
        <v>81.2</v>
      </c>
      <c r="N129" s="790"/>
      <c r="O129" s="790"/>
    </row>
    <row r="130" spans="1:15">
      <c r="A130" s="137" t="s">
        <v>1108</v>
      </c>
      <c r="B130" s="788" t="s">
        <v>251</v>
      </c>
      <c r="C130" s="138">
        <f>70000000/1000000</f>
        <v>70</v>
      </c>
      <c r="D130" s="791" t="s">
        <v>258</v>
      </c>
      <c r="E130" s="789" t="s">
        <v>253</v>
      </c>
      <c r="F130" s="139">
        <v>41048</v>
      </c>
      <c r="G130" s="139">
        <v>41413</v>
      </c>
      <c r="H130" s="788">
        <v>7555</v>
      </c>
      <c r="I130" s="788" t="s">
        <v>259</v>
      </c>
      <c r="J130" s="142">
        <v>155.55555555555554</v>
      </c>
      <c r="K130" s="790"/>
      <c r="L130" s="790"/>
      <c r="M130" s="541">
        <f>(44850000.24+16423301+5184000)/1000000</f>
        <v>66.457301240000007</v>
      </c>
      <c r="N130" s="790"/>
      <c r="O130" s="790"/>
    </row>
    <row r="131" spans="1:15">
      <c r="A131" s="137" t="s">
        <v>1108</v>
      </c>
      <c r="B131" s="788" t="s">
        <v>251</v>
      </c>
      <c r="C131" s="138">
        <f>42250000/1000000</f>
        <v>42.25</v>
      </c>
      <c r="D131" s="792"/>
      <c r="E131" s="789" t="s">
        <v>260</v>
      </c>
      <c r="F131" s="139">
        <v>40681</v>
      </c>
      <c r="G131" s="139">
        <v>41047</v>
      </c>
      <c r="H131" s="788">
        <v>7555</v>
      </c>
      <c r="I131" s="788" t="s">
        <v>259</v>
      </c>
      <c r="J131" s="142">
        <v>93.888888888888886</v>
      </c>
      <c r="K131" s="790"/>
      <c r="L131" s="790"/>
      <c r="M131" s="542"/>
      <c r="N131" s="790"/>
      <c r="O131" s="790"/>
    </row>
    <row r="132" spans="1:15" ht="15" customHeight="1">
      <c r="A132" s="137" t="s">
        <v>1108</v>
      </c>
      <c r="B132" s="788" t="s">
        <v>251</v>
      </c>
      <c r="C132" s="138">
        <f>35000000/1000000</f>
        <v>35</v>
      </c>
      <c r="D132" s="791" t="s">
        <v>261</v>
      </c>
      <c r="E132" s="789" t="s">
        <v>262</v>
      </c>
      <c r="F132" s="139">
        <v>41022</v>
      </c>
      <c r="G132" s="139">
        <v>41387</v>
      </c>
      <c r="H132" s="788">
        <v>7555</v>
      </c>
      <c r="I132" s="788" t="s">
        <v>259</v>
      </c>
      <c r="J132" s="788">
        <v>140</v>
      </c>
      <c r="K132" s="790"/>
      <c r="L132" s="790"/>
      <c r="M132" s="541">
        <f>(19733999.76+10252699)/1000000</f>
        <v>29.986698760000003</v>
      </c>
      <c r="N132" s="790"/>
      <c r="O132" s="790"/>
    </row>
    <row r="133" spans="1:15">
      <c r="A133" s="137" t="s">
        <v>1108</v>
      </c>
      <c r="B133" s="788" t="s">
        <v>251</v>
      </c>
      <c r="C133" s="138">
        <f>16360000/1000000</f>
        <v>16.36</v>
      </c>
      <c r="D133" s="792"/>
      <c r="E133" s="789" t="s">
        <v>263</v>
      </c>
      <c r="F133" s="139">
        <v>40661</v>
      </c>
      <c r="G133" s="139">
        <v>41021</v>
      </c>
      <c r="H133" s="788">
        <v>7555</v>
      </c>
      <c r="I133" s="788" t="s">
        <v>259</v>
      </c>
      <c r="J133" s="142">
        <v>65.44</v>
      </c>
      <c r="K133" s="790"/>
      <c r="L133" s="790"/>
      <c r="M133" s="542"/>
      <c r="N133" s="790"/>
      <c r="O133" s="790"/>
    </row>
    <row r="134" spans="1:15" ht="76.5" customHeight="1">
      <c r="A134" s="137" t="s">
        <v>1108</v>
      </c>
      <c r="B134" s="788" t="s">
        <v>251</v>
      </c>
      <c r="C134" s="138">
        <f>1080000000/1000000</f>
        <v>1080</v>
      </c>
      <c r="D134" s="793" t="s">
        <v>1109</v>
      </c>
      <c r="E134" s="789" t="s">
        <v>253</v>
      </c>
      <c r="F134" s="139">
        <v>41198</v>
      </c>
      <c r="G134" s="139">
        <v>41563</v>
      </c>
      <c r="H134" s="788">
        <v>7555</v>
      </c>
      <c r="I134" s="788" t="s">
        <v>264</v>
      </c>
      <c r="J134" s="143">
        <v>43984.686812739266</v>
      </c>
      <c r="K134" s="790"/>
      <c r="L134" s="790"/>
      <c r="M134" s="541">
        <f>(1477764832+365562400)/1000000</f>
        <v>1843.3272320000001</v>
      </c>
      <c r="N134" s="790"/>
      <c r="O134" s="790"/>
    </row>
    <row r="135" spans="1:15" ht="51" customHeight="1">
      <c r="A135" s="137" t="s">
        <v>1108</v>
      </c>
      <c r="B135" s="788" t="s">
        <v>251</v>
      </c>
      <c r="C135" s="138">
        <f>996113945/1000000</f>
        <v>996.11394499999994</v>
      </c>
      <c r="D135" s="794"/>
      <c r="E135" s="789" t="s">
        <v>265</v>
      </c>
      <c r="F135" s="139">
        <v>40831</v>
      </c>
      <c r="G135" s="139">
        <v>41197</v>
      </c>
      <c r="H135" s="788">
        <v>7555</v>
      </c>
      <c r="I135" s="788" t="s">
        <v>264</v>
      </c>
      <c r="J135" s="143">
        <v>40568.296204284437</v>
      </c>
      <c r="K135" s="790"/>
      <c r="L135" s="790"/>
      <c r="M135" s="542"/>
      <c r="N135" s="790"/>
      <c r="O135" s="790"/>
    </row>
    <row r="136" spans="1:15" ht="63.75" customHeight="1">
      <c r="A136" s="137" t="s">
        <v>1108</v>
      </c>
      <c r="B136" s="788" t="s">
        <v>251</v>
      </c>
      <c r="C136" s="138">
        <f>5000000/1000000</f>
        <v>5</v>
      </c>
      <c r="D136" s="773" t="s">
        <v>266</v>
      </c>
      <c r="E136" s="789" t="s">
        <v>253</v>
      </c>
      <c r="F136" s="139">
        <v>40959</v>
      </c>
      <c r="G136" s="139">
        <v>41325</v>
      </c>
      <c r="H136" s="788">
        <v>7555</v>
      </c>
      <c r="I136" s="788" t="s">
        <v>254</v>
      </c>
      <c r="J136" s="788" t="s">
        <v>267</v>
      </c>
      <c r="K136" s="790"/>
      <c r="L136" s="790"/>
      <c r="M136" s="141">
        <f>20184000/1000000</f>
        <v>20.184000000000001</v>
      </c>
      <c r="N136" s="790"/>
      <c r="O136" s="790"/>
    </row>
    <row r="137" spans="1:15" ht="51" customHeight="1">
      <c r="A137" s="137" t="s">
        <v>1108</v>
      </c>
      <c r="B137" s="788" t="s">
        <v>251</v>
      </c>
      <c r="C137" s="138">
        <f>182000000/1000000</f>
        <v>182</v>
      </c>
      <c r="D137" s="773" t="s">
        <v>268</v>
      </c>
      <c r="E137" s="789" t="s">
        <v>253</v>
      </c>
      <c r="F137" s="139">
        <v>41025</v>
      </c>
      <c r="G137" s="139">
        <v>41390</v>
      </c>
      <c r="H137" s="788">
        <v>7555</v>
      </c>
      <c r="I137" s="788" t="s">
        <v>254</v>
      </c>
      <c r="J137" s="788" t="s">
        <v>269</v>
      </c>
      <c r="K137" s="790"/>
      <c r="L137" s="790"/>
      <c r="M137" s="141">
        <f>276720000/1000000</f>
        <v>276.72000000000003</v>
      </c>
      <c r="N137" s="790"/>
      <c r="O137" s="790"/>
    </row>
    <row r="138" spans="1:15" ht="60">
      <c r="A138" s="137" t="s">
        <v>1108</v>
      </c>
      <c r="B138" s="144" t="s">
        <v>14</v>
      </c>
      <c r="C138" s="795">
        <f>4550356400/1000000</f>
        <v>4550.3563999999997</v>
      </c>
      <c r="D138" s="796" t="s">
        <v>270</v>
      </c>
      <c r="E138" s="797"/>
      <c r="F138" s="145">
        <v>40910</v>
      </c>
      <c r="G138" s="145">
        <v>41274</v>
      </c>
      <c r="H138" s="797">
        <v>7557</v>
      </c>
      <c r="I138" s="140" t="s">
        <v>271</v>
      </c>
      <c r="J138" s="140" t="s">
        <v>272</v>
      </c>
      <c r="K138" s="790"/>
      <c r="L138" s="790"/>
      <c r="M138" s="144">
        <f>4550356400/1000000</f>
        <v>4550.3563999999997</v>
      </c>
      <c r="N138" s="790"/>
      <c r="O138" s="790"/>
    </row>
    <row r="139" spans="1:15" ht="127.5" customHeight="1">
      <c r="A139" s="146" t="s">
        <v>273</v>
      </c>
      <c r="B139" s="798" t="s">
        <v>39</v>
      </c>
      <c r="C139" s="799">
        <f>22000000000/1000000</f>
        <v>22000</v>
      </c>
      <c r="D139" s="773" t="s">
        <v>274</v>
      </c>
      <c r="E139" s="800" t="s">
        <v>196</v>
      </c>
      <c r="F139" s="801" t="s">
        <v>196</v>
      </c>
      <c r="G139" s="801" t="s">
        <v>196</v>
      </c>
      <c r="H139" s="801">
        <v>7181</v>
      </c>
      <c r="I139" s="801" t="s">
        <v>275</v>
      </c>
      <c r="J139" s="142" t="s">
        <v>276</v>
      </c>
      <c r="K139" s="140"/>
      <c r="L139" s="140"/>
      <c r="M139" s="147">
        <f>22000000000/1000000</f>
        <v>22000</v>
      </c>
      <c r="N139" s="140"/>
      <c r="O139" s="140"/>
    </row>
    <row r="140" spans="1:15" ht="30">
      <c r="A140" s="146" t="s">
        <v>273</v>
      </c>
      <c r="B140" s="798" t="s">
        <v>39</v>
      </c>
      <c r="C140" s="799">
        <f>18604000000/1000000</f>
        <v>18604</v>
      </c>
      <c r="D140" s="773" t="s">
        <v>277</v>
      </c>
      <c r="E140" s="800" t="s">
        <v>196</v>
      </c>
      <c r="F140" s="801" t="s">
        <v>196</v>
      </c>
      <c r="G140" s="801" t="s">
        <v>196</v>
      </c>
      <c r="H140" s="801">
        <v>7181</v>
      </c>
      <c r="I140" s="801" t="s">
        <v>275</v>
      </c>
      <c r="J140" s="142" t="s">
        <v>278</v>
      </c>
      <c r="K140" s="790"/>
      <c r="L140" s="790"/>
      <c r="M140" s="147">
        <f>18604000000/1000000</f>
        <v>18604</v>
      </c>
      <c r="N140" s="790"/>
      <c r="O140" s="790"/>
    </row>
    <row r="141" spans="1:15" ht="30">
      <c r="A141" s="146" t="s">
        <v>273</v>
      </c>
      <c r="B141" s="802" t="s">
        <v>39</v>
      </c>
      <c r="C141" s="799">
        <f>2221000000/1000000</f>
        <v>2221</v>
      </c>
      <c r="D141" s="773" t="s">
        <v>279</v>
      </c>
      <c r="E141" s="800" t="s">
        <v>196</v>
      </c>
      <c r="F141" s="801" t="s">
        <v>196</v>
      </c>
      <c r="G141" s="801" t="s">
        <v>196</v>
      </c>
      <c r="H141" s="801">
        <v>7181</v>
      </c>
      <c r="I141" s="801" t="s">
        <v>280</v>
      </c>
      <c r="J141" s="803"/>
      <c r="K141" s="790"/>
      <c r="L141" s="790"/>
      <c r="M141" s="147">
        <f>2221000000/1000000</f>
        <v>2221</v>
      </c>
      <c r="N141" s="790"/>
      <c r="O141" s="790"/>
    </row>
    <row r="142" spans="1:15" ht="89.25" customHeight="1">
      <c r="A142" s="146" t="s">
        <v>273</v>
      </c>
      <c r="B142" s="802" t="s">
        <v>39</v>
      </c>
      <c r="C142" s="799">
        <f>3619000000/1000000</f>
        <v>3619</v>
      </c>
      <c r="D142" s="804" t="s">
        <v>281</v>
      </c>
      <c r="E142" s="800" t="s">
        <v>196</v>
      </c>
      <c r="F142" s="801" t="s">
        <v>196</v>
      </c>
      <c r="G142" s="801" t="s">
        <v>196</v>
      </c>
      <c r="H142" s="801">
        <v>7181</v>
      </c>
      <c r="I142" s="801" t="s">
        <v>275</v>
      </c>
      <c r="J142" s="801" t="s">
        <v>282</v>
      </c>
      <c r="K142" s="790"/>
      <c r="L142" s="790"/>
      <c r="M142" s="147">
        <f>3619000000/1000000</f>
        <v>3619</v>
      </c>
      <c r="N142" s="790"/>
      <c r="O142" s="790"/>
    </row>
    <row r="143" spans="1:15" ht="63.75" customHeight="1">
      <c r="A143" s="146" t="s">
        <v>273</v>
      </c>
      <c r="B143" s="802" t="s">
        <v>39</v>
      </c>
      <c r="C143" s="799">
        <f>1100000000/1000000</f>
        <v>1100</v>
      </c>
      <c r="D143" s="804" t="s">
        <v>283</v>
      </c>
      <c r="E143" s="800" t="s">
        <v>196</v>
      </c>
      <c r="F143" s="801" t="s">
        <v>196</v>
      </c>
      <c r="G143" s="801" t="s">
        <v>196</v>
      </c>
      <c r="H143" s="801">
        <v>7181</v>
      </c>
      <c r="I143" s="801" t="s">
        <v>280</v>
      </c>
      <c r="J143" s="805" t="s">
        <v>254</v>
      </c>
      <c r="K143" s="790"/>
      <c r="L143" s="790"/>
      <c r="M143" s="147">
        <f>1100000000/1000000</f>
        <v>1100</v>
      </c>
      <c r="N143" s="790"/>
      <c r="O143" s="790"/>
    </row>
    <row r="144" spans="1:15" ht="51" customHeight="1">
      <c r="A144" s="543" t="s">
        <v>273</v>
      </c>
      <c r="B144" s="806" t="s">
        <v>39</v>
      </c>
      <c r="C144" s="150">
        <f>12500000000/1000000</f>
        <v>12500</v>
      </c>
      <c r="D144" s="807" t="s">
        <v>274</v>
      </c>
      <c r="E144" s="782" t="s">
        <v>284</v>
      </c>
      <c r="F144" s="549">
        <v>40595</v>
      </c>
      <c r="G144" s="549">
        <v>40683</v>
      </c>
      <c r="H144" s="808">
        <v>7181</v>
      </c>
      <c r="I144" s="808" t="s">
        <v>285</v>
      </c>
      <c r="J144" s="809" t="s">
        <v>286</v>
      </c>
      <c r="K144" s="810"/>
      <c r="L144" s="810"/>
      <c r="M144" s="546">
        <v>6026</v>
      </c>
      <c r="N144" s="810"/>
      <c r="O144" s="810"/>
    </row>
    <row r="145" spans="1:15" ht="63.75" customHeight="1">
      <c r="A145" s="544"/>
      <c r="B145" s="811"/>
      <c r="C145" s="150">
        <v>0</v>
      </c>
      <c r="D145" s="812"/>
      <c r="E145" s="782" t="s">
        <v>287</v>
      </c>
      <c r="F145" s="813"/>
      <c r="G145" s="813"/>
      <c r="H145" s="813"/>
      <c r="I145" s="813"/>
      <c r="J145" s="813"/>
      <c r="K145" s="814"/>
      <c r="L145" s="814"/>
      <c r="M145" s="548"/>
      <c r="N145" s="814"/>
      <c r="O145" s="814"/>
    </row>
    <row r="146" spans="1:15" ht="51" customHeight="1">
      <c r="A146" s="545"/>
      <c r="B146" s="815"/>
      <c r="C146" s="150">
        <v>0</v>
      </c>
      <c r="D146" s="816"/>
      <c r="E146" s="782" t="s">
        <v>288</v>
      </c>
      <c r="F146" s="817"/>
      <c r="G146" s="817"/>
      <c r="H146" s="817"/>
      <c r="I146" s="817"/>
      <c r="J146" s="817"/>
      <c r="K146" s="818"/>
      <c r="L146" s="818"/>
      <c r="M146" s="547"/>
      <c r="N146" s="818"/>
      <c r="O146" s="818"/>
    </row>
    <row r="147" spans="1:15" ht="63.75" customHeight="1">
      <c r="A147" s="543" t="s">
        <v>273</v>
      </c>
      <c r="B147" s="806" t="s">
        <v>39</v>
      </c>
      <c r="C147" s="546">
        <f>18700000000/1000000</f>
        <v>18700</v>
      </c>
      <c r="D147" s="807" t="s">
        <v>274</v>
      </c>
      <c r="E147" s="782" t="s">
        <v>289</v>
      </c>
      <c r="F147" s="156">
        <v>40665</v>
      </c>
      <c r="G147" s="149">
        <v>40663</v>
      </c>
      <c r="H147" s="808">
        <v>7181</v>
      </c>
      <c r="I147" s="808" t="s">
        <v>275</v>
      </c>
      <c r="J147" s="819" t="s">
        <v>290</v>
      </c>
      <c r="K147" s="790"/>
      <c r="L147" s="790"/>
      <c r="M147" s="148">
        <v>4218</v>
      </c>
      <c r="N147" s="790"/>
      <c r="O147" s="790"/>
    </row>
    <row r="148" spans="1:15" ht="89.25" customHeight="1">
      <c r="A148" s="544"/>
      <c r="B148" s="811"/>
      <c r="C148" s="547"/>
      <c r="D148" s="812"/>
      <c r="E148" s="782" t="s">
        <v>291</v>
      </c>
      <c r="F148" s="156">
        <v>40665</v>
      </c>
      <c r="G148" s="149">
        <v>40663</v>
      </c>
      <c r="H148" s="813"/>
      <c r="I148" s="813"/>
      <c r="J148" s="819" t="s">
        <v>292</v>
      </c>
      <c r="K148" s="790"/>
      <c r="L148" s="790"/>
      <c r="M148" s="148">
        <v>4821</v>
      </c>
      <c r="N148" s="790"/>
      <c r="O148" s="790"/>
    </row>
    <row r="149" spans="1:15" ht="114.75" customHeight="1">
      <c r="A149" s="544"/>
      <c r="B149" s="811"/>
      <c r="C149" s="150">
        <v>0</v>
      </c>
      <c r="D149" s="812"/>
      <c r="E149" s="782" t="s">
        <v>293</v>
      </c>
      <c r="F149" s="805"/>
      <c r="G149" s="803"/>
      <c r="H149" s="813"/>
      <c r="I149" s="813"/>
      <c r="J149" s="803"/>
      <c r="K149" s="790"/>
      <c r="L149" s="790"/>
      <c r="M149" s="148"/>
      <c r="N149" s="790"/>
      <c r="O149" s="790"/>
    </row>
    <row r="150" spans="1:15" ht="51" customHeight="1">
      <c r="A150" s="545"/>
      <c r="B150" s="815"/>
      <c r="C150" s="150">
        <v>0</v>
      </c>
      <c r="D150" s="816"/>
      <c r="E150" s="782" t="s">
        <v>294</v>
      </c>
      <c r="F150" s="805"/>
      <c r="G150" s="803"/>
      <c r="H150" s="817"/>
      <c r="I150" s="817"/>
      <c r="J150" s="803"/>
      <c r="K150" s="790"/>
      <c r="L150" s="790"/>
      <c r="M150" s="148"/>
      <c r="N150" s="790"/>
      <c r="O150" s="790"/>
    </row>
    <row r="151" spans="1:15" ht="76.5" customHeight="1">
      <c r="A151" s="146" t="s">
        <v>273</v>
      </c>
      <c r="B151" s="820" t="s">
        <v>39</v>
      </c>
      <c r="C151" s="150">
        <f>2890000000/1000000</f>
        <v>2890</v>
      </c>
      <c r="D151" s="821" t="s">
        <v>295</v>
      </c>
      <c r="E151" s="782" t="s">
        <v>296</v>
      </c>
      <c r="F151" s="801" t="s">
        <v>196</v>
      </c>
      <c r="G151" s="822" t="s">
        <v>196</v>
      </c>
      <c r="H151" s="801">
        <v>7181</v>
      </c>
      <c r="I151" s="801" t="s">
        <v>275</v>
      </c>
      <c r="J151" s="788" t="s">
        <v>297</v>
      </c>
      <c r="K151" s="790"/>
      <c r="L151" s="790"/>
      <c r="M151" s="148">
        <f>2890000000/1000000</f>
        <v>2890</v>
      </c>
      <c r="N151" s="790"/>
      <c r="O151" s="790"/>
    </row>
    <row r="152" spans="1:15" ht="114.75" customHeight="1">
      <c r="A152" s="543" t="s">
        <v>273</v>
      </c>
      <c r="B152" s="806" t="s">
        <v>39</v>
      </c>
      <c r="C152" s="150">
        <f>4526000000/1000000</f>
        <v>4526</v>
      </c>
      <c r="D152" s="807" t="s">
        <v>279</v>
      </c>
      <c r="E152" s="782" t="s">
        <v>298</v>
      </c>
      <c r="F152" s="549">
        <v>40144</v>
      </c>
      <c r="G152" s="549">
        <v>41238</v>
      </c>
      <c r="H152" s="808">
        <v>7181</v>
      </c>
      <c r="I152" s="808" t="s">
        <v>280</v>
      </c>
      <c r="J152" s="801" t="s">
        <v>254</v>
      </c>
      <c r="K152" s="790"/>
      <c r="L152" s="790"/>
      <c r="M152" s="148"/>
      <c r="N152" s="790"/>
      <c r="O152" s="790"/>
    </row>
    <row r="153" spans="1:15">
      <c r="A153" s="544"/>
      <c r="B153" s="811"/>
      <c r="C153" s="150">
        <v>0</v>
      </c>
      <c r="D153" s="812"/>
      <c r="E153" s="782" t="s">
        <v>299</v>
      </c>
      <c r="F153" s="813"/>
      <c r="G153" s="813"/>
      <c r="H153" s="813"/>
      <c r="I153" s="813"/>
      <c r="J153" s="801" t="s">
        <v>254</v>
      </c>
      <c r="K153" s="790"/>
      <c r="L153" s="790"/>
      <c r="M153" s="150"/>
      <c r="N153" s="790"/>
      <c r="O153" s="790"/>
    </row>
    <row r="154" spans="1:15" ht="30">
      <c r="A154" s="545"/>
      <c r="B154" s="811"/>
      <c r="C154" s="150">
        <v>0</v>
      </c>
      <c r="D154" s="816"/>
      <c r="E154" s="782" t="s">
        <v>300</v>
      </c>
      <c r="F154" s="817"/>
      <c r="G154" s="817"/>
      <c r="H154" s="817"/>
      <c r="I154" s="817"/>
      <c r="J154" s="788" t="s">
        <v>301</v>
      </c>
      <c r="K154" s="790"/>
      <c r="L154" s="790"/>
      <c r="M154" s="150">
        <v>1830</v>
      </c>
      <c r="N154" s="790"/>
      <c r="O154" s="790"/>
    </row>
    <row r="155" spans="1:15" ht="38.25" customHeight="1">
      <c r="A155" s="543" t="s">
        <v>273</v>
      </c>
      <c r="B155" s="806" t="s">
        <v>39</v>
      </c>
      <c r="C155" s="150">
        <f>727451280/1000000</f>
        <v>727.45128</v>
      </c>
      <c r="D155" s="807" t="s">
        <v>283</v>
      </c>
      <c r="E155" s="782" t="s">
        <v>302</v>
      </c>
      <c r="F155" s="549">
        <v>40099</v>
      </c>
      <c r="G155" s="549">
        <v>41089</v>
      </c>
      <c r="H155" s="808">
        <v>7181</v>
      </c>
      <c r="I155" s="808" t="s">
        <v>275</v>
      </c>
      <c r="J155" s="801" t="s">
        <v>254</v>
      </c>
      <c r="K155" s="790"/>
      <c r="L155" s="790"/>
      <c r="M155" s="150"/>
      <c r="N155" s="790"/>
      <c r="O155" s="790"/>
    </row>
    <row r="156" spans="1:15" ht="51" customHeight="1">
      <c r="A156" s="544"/>
      <c r="B156" s="811"/>
      <c r="C156" s="150">
        <v>0</v>
      </c>
      <c r="D156" s="812"/>
      <c r="E156" s="782" t="s">
        <v>303</v>
      </c>
      <c r="F156" s="813"/>
      <c r="G156" s="813"/>
      <c r="H156" s="813"/>
      <c r="I156" s="813"/>
      <c r="J156" s="801" t="s">
        <v>254</v>
      </c>
      <c r="K156" s="790"/>
      <c r="L156" s="790"/>
      <c r="M156" s="150"/>
      <c r="N156" s="790"/>
      <c r="O156" s="790"/>
    </row>
    <row r="157" spans="1:15">
      <c r="A157" s="544"/>
      <c r="B157" s="811"/>
      <c r="C157" s="150">
        <v>0</v>
      </c>
      <c r="D157" s="812"/>
      <c r="E157" s="782" t="s">
        <v>304</v>
      </c>
      <c r="F157" s="813"/>
      <c r="G157" s="813"/>
      <c r="H157" s="813"/>
      <c r="I157" s="813"/>
      <c r="J157" s="801" t="s">
        <v>254</v>
      </c>
      <c r="K157" s="790"/>
      <c r="L157" s="790"/>
      <c r="M157" s="150"/>
      <c r="N157" s="790"/>
      <c r="O157" s="790"/>
    </row>
    <row r="158" spans="1:15">
      <c r="A158" s="545"/>
      <c r="B158" s="815"/>
      <c r="C158" s="150">
        <v>0</v>
      </c>
      <c r="D158" s="816"/>
      <c r="E158" s="782" t="s">
        <v>305</v>
      </c>
      <c r="F158" s="817"/>
      <c r="G158" s="817"/>
      <c r="H158" s="817"/>
      <c r="I158" s="817"/>
      <c r="J158" s="801" t="s">
        <v>254</v>
      </c>
      <c r="K158" s="790"/>
      <c r="L158" s="790"/>
      <c r="M158" s="150">
        <v>173</v>
      </c>
      <c r="N158" s="790"/>
      <c r="O158" s="790"/>
    </row>
    <row r="159" spans="1:15" ht="60">
      <c r="A159" s="144" t="s">
        <v>273</v>
      </c>
      <c r="B159" s="144" t="s">
        <v>14</v>
      </c>
      <c r="C159" s="795">
        <v>4550356400</v>
      </c>
      <c r="D159" s="773" t="s">
        <v>270</v>
      </c>
      <c r="E159" s="795" t="s">
        <v>1110</v>
      </c>
      <c r="F159" s="145">
        <v>40910</v>
      </c>
      <c r="G159" s="145">
        <v>41274</v>
      </c>
      <c r="H159" s="140">
        <v>7557</v>
      </c>
      <c r="I159" s="140" t="s">
        <v>271</v>
      </c>
      <c r="J159" s="140">
        <v>12</v>
      </c>
      <c r="K159" s="140"/>
      <c r="L159" s="140"/>
      <c r="M159" s="140">
        <v>100</v>
      </c>
      <c r="N159" s="140"/>
      <c r="O159" s="140"/>
    </row>
    <row r="160" spans="1:15" ht="75">
      <c r="A160" s="823" t="s">
        <v>402</v>
      </c>
      <c r="B160" s="802" t="s">
        <v>14</v>
      </c>
      <c r="C160" s="824">
        <v>57.03</v>
      </c>
      <c r="D160" s="773" t="s">
        <v>403</v>
      </c>
      <c r="E160" s="825" t="s">
        <v>404</v>
      </c>
      <c r="F160" s="825">
        <v>40840</v>
      </c>
      <c r="G160" s="782" t="s">
        <v>196</v>
      </c>
      <c r="H160" s="782">
        <v>5075</v>
      </c>
      <c r="I160" s="802" t="s">
        <v>405</v>
      </c>
      <c r="J160" s="802" t="s">
        <v>196</v>
      </c>
      <c r="K160" s="802"/>
      <c r="L160" s="802"/>
      <c r="M160" s="162">
        <v>57.03</v>
      </c>
      <c r="N160" s="802"/>
      <c r="O160" s="802"/>
    </row>
    <row r="161" spans="1:15" ht="63.75" customHeight="1">
      <c r="A161" s="823" t="s">
        <v>406</v>
      </c>
      <c r="B161" s="802" t="s">
        <v>14</v>
      </c>
      <c r="C161" s="824">
        <v>63.993000000000002</v>
      </c>
      <c r="D161" s="773" t="s">
        <v>407</v>
      </c>
      <c r="E161" s="825" t="s">
        <v>408</v>
      </c>
      <c r="F161" s="825">
        <v>40817</v>
      </c>
      <c r="G161" s="782" t="s">
        <v>196</v>
      </c>
      <c r="H161" s="782">
        <v>5032</v>
      </c>
      <c r="I161" s="802" t="s">
        <v>275</v>
      </c>
      <c r="J161" s="802" t="s">
        <v>196</v>
      </c>
      <c r="K161" s="802"/>
      <c r="L161" s="802"/>
      <c r="M161" s="162">
        <v>63.993000000000002</v>
      </c>
      <c r="N161" s="802"/>
      <c r="O161" s="802"/>
    </row>
    <row r="162" spans="1:15" ht="63.75" customHeight="1">
      <c r="A162" s="826" t="s">
        <v>409</v>
      </c>
      <c r="B162" s="802" t="s">
        <v>14</v>
      </c>
      <c r="C162" s="824">
        <v>20</v>
      </c>
      <c r="D162" s="826" t="s">
        <v>410</v>
      </c>
      <c r="E162" s="782" t="s">
        <v>196</v>
      </c>
      <c r="F162" s="825">
        <v>40909</v>
      </c>
      <c r="G162" s="825">
        <v>41274</v>
      </c>
      <c r="H162" s="782">
        <v>5075</v>
      </c>
      <c r="I162" s="802" t="s">
        <v>411</v>
      </c>
      <c r="J162" s="802" t="s">
        <v>196</v>
      </c>
      <c r="K162" s="802"/>
      <c r="L162" s="802"/>
      <c r="M162" s="162">
        <v>20</v>
      </c>
      <c r="N162" s="802"/>
      <c r="O162" s="802"/>
    </row>
    <row r="163" spans="1:15" ht="30">
      <c r="A163" s="826" t="s">
        <v>412</v>
      </c>
      <c r="B163" s="802" t="s">
        <v>14</v>
      </c>
      <c r="C163" s="824">
        <v>101.94</v>
      </c>
      <c r="D163" s="773" t="s">
        <v>413</v>
      </c>
      <c r="E163" s="782" t="s">
        <v>196</v>
      </c>
      <c r="F163" s="825">
        <v>40909</v>
      </c>
      <c r="G163" s="825">
        <v>41274</v>
      </c>
      <c r="H163" s="782">
        <v>5075</v>
      </c>
      <c r="I163" s="802" t="s">
        <v>411</v>
      </c>
      <c r="J163" s="802" t="s">
        <v>196</v>
      </c>
      <c r="K163" s="802"/>
      <c r="L163" s="802"/>
      <c r="M163" s="162">
        <v>101.94</v>
      </c>
      <c r="N163" s="802"/>
      <c r="O163" s="802"/>
    </row>
    <row r="164" spans="1:15" ht="75">
      <c r="A164" s="823" t="s">
        <v>402</v>
      </c>
      <c r="B164" s="802" t="s">
        <v>14</v>
      </c>
      <c r="C164" s="824">
        <v>159.101</v>
      </c>
      <c r="D164" s="773" t="s">
        <v>414</v>
      </c>
      <c r="E164" s="782" t="s">
        <v>415</v>
      </c>
      <c r="F164" s="825">
        <v>40892</v>
      </c>
      <c r="G164" s="782" t="s">
        <v>196</v>
      </c>
      <c r="H164" s="782">
        <v>7182</v>
      </c>
      <c r="I164" s="802" t="s">
        <v>275</v>
      </c>
      <c r="J164" s="802" t="s">
        <v>196</v>
      </c>
      <c r="K164" s="802"/>
      <c r="L164" s="802"/>
      <c r="M164" s="162">
        <v>159.101</v>
      </c>
      <c r="N164" s="802"/>
      <c r="O164" s="802"/>
    </row>
    <row r="165" spans="1:15" ht="30">
      <c r="A165" s="823" t="s">
        <v>416</v>
      </c>
      <c r="B165" s="802" t="s">
        <v>14</v>
      </c>
      <c r="C165" s="824">
        <v>46.96</v>
      </c>
      <c r="D165" s="826" t="s">
        <v>417</v>
      </c>
      <c r="E165" s="782" t="s">
        <v>196</v>
      </c>
      <c r="F165" s="782" t="s">
        <v>196</v>
      </c>
      <c r="G165" s="782" t="s">
        <v>196</v>
      </c>
      <c r="H165" s="782">
        <v>7171</v>
      </c>
      <c r="I165" s="802" t="s">
        <v>275</v>
      </c>
      <c r="J165" s="802" t="s">
        <v>196</v>
      </c>
      <c r="K165" s="802"/>
      <c r="L165" s="802"/>
      <c r="M165" s="162">
        <v>46.96</v>
      </c>
      <c r="N165" s="802"/>
      <c r="O165" s="802"/>
    </row>
    <row r="166" spans="1:15" ht="75">
      <c r="A166" s="823" t="s">
        <v>402</v>
      </c>
      <c r="B166" s="802" t="s">
        <v>14</v>
      </c>
      <c r="C166" s="824">
        <v>86.1</v>
      </c>
      <c r="D166" s="773" t="s">
        <v>403</v>
      </c>
      <c r="E166" s="825" t="s">
        <v>404</v>
      </c>
      <c r="F166" s="825">
        <v>40840</v>
      </c>
      <c r="G166" s="782" t="s">
        <v>398</v>
      </c>
      <c r="H166" s="782">
        <v>5075</v>
      </c>
      <c r="I166" s="802" t="s">
        <v>405</v>
      </c>
      <c r="J166" s="802" t="s">
        <v>196</v>
      </c>
      <c r="K166" s="802"/>
      <c r="L166" s="802"/>
      <c r="M166" s="162">
        <v>57.03</v>
      </c>
      <c r="N166" s="802"/>
      <c r="O166" s="802"/>
    </row>
    <row r="167" spans="1:15">
      <c r="A167" s="823" t="s">
        <v>418</v>
      </c>
      <c r="B167" s="802" t="s">
        <v>14</v>
      </c>
      <c r="C167" s="824">
        <v>2.3199999999999998</v>
      </c>
      <c r="D167" s="826" t="s">
        <v>419</v>
      </c>
      <c r="E167" s="782" t="s">
        <v>196</v>
      </c>
      <c r="F167" s="825">
        <v>40909</v>
      </c>
      <c r="G167" s="825">
        <v>41274</v>
      </c>
      <c r="H167" s="782">
        <v>5075</v>
      </c>
      <c r="I167" s="802" t="s">
        <v>411</v>
      </c>
      <c r="J167" s="802" t="s">
        <v>196</v>
      </c>
      <c r="K167" s="802"/>
      <c r="L167" s="802"/>
      <c r="M167" s="162">
        <v>20</v>
      </c>
      <c r="N167" s="802"/>
      <c r="O167" s="802"/>
    </row>
    <row r="168" spans="1:15" ht="30">
      <c r="A168" s="823" t="s">
        <v>420</v>
      </c>
      <c r="B168" s="802" t="s">
        <v>14</v>
      </c>
      <c r="C168" s="824">
        <v>50</v>
      </c>
      <c r="D168" s="773" t="s">
        <v>421</v>
      </c>
      <c r="E168" s="782" t="s">
        <v>196</v>
      </c>
      <c r="F168" s="782" t="s">
        <v>196</v>
      </c>
      <c r="G168" s="782" t="s">
        <v>196</v>
      </c>
      <c r="H168" s="782">
        <v>7182</v>
      </c>
      <c r="I168" s="802" t="s">
        <v>196</v>
      </c>
      <c r="J168" s="802" t="s">
        <v>196</v>
      </c>
      <c r="K168" s="802"/>
      <c r="L168" s="802"/>
      <c r="M168" s="162">
        <v>50</v>
      </c>
      <c r="N168" s="802"/>
      <c r="O168" s="802"/>
    </row>
    <row r="169" spans="1:15" ht="75">
      <c r="A169" s="823" t="s">
        <v>402</v>
      </c>
      <c r="B169" s="802" t="s">
        <v>14</v>
      </c>
      <c r="C169" s="824">
        <v>1366.49</v>
      </c>
      <c r="D169" s="773" t="s">
        <v>414</v>
      </c>
      <c r="E169" s="782" t="s">
        <v>415</v>
      </c>
      <c r="F169" s="825">
        <v>40892</v>
      </c>
      <c r="G169" s="782" t="s">
        <v>398</v>
      </c>
      <c r="H169" s="782">
        <v>7182</v>
      </c>
      <c r="I169" s="802" t="s">
        <v>275</v>
      </c>
      <c r="J169" s="802" t="s">
        <v>196</v>
      </c>
      <c r="K169" s="802"/>
      <c r="L169" s="802"/>
      <c r="M169" s="162">
        <v>1366.49</v>
      </c>
      <c r="N169" s="802"/>
      <c r="O169" s="802"/>
    </row>
    <row r="170" spans="1:15" ht="75">
      <c r="A170" s="823" t="s">
        <v>402</v>
      </c>
      <c r="B170" s="802" t="s">
        <v>14</v>
      </c>
      <c r="C170" s="824">
        <v>85.32</v>
      </c>
      <c r="D170" s="773" t="s">
        <v>403</v>
      </c>
      <c r="E170" s="825" t="s">
        <v>404</v>
      </c>
      <c r="F170" s="825">
        <v>40840</v>
      </c>
      <c r="G170" s="782" t="s">
        <v>398</v>
      </c>
      <c r="H170" s="782">
        <v>5075</v>
      </c>
      <c r="I170" s="802" t="s">
        <v>405</v>
      </c>
      <c r="J170" s="802" t="s">
        <v>196</v>
      </c>
      <c r="K170" s="802"/>
      <c r="L170" s="802"/>
      <c r="M170" s="162">
        <v>57.03</v>
      </c>
      <c r="N170" s="802"/>
      <c r="O170" s="802"/>
    </row>
    <row r="171" spans="1:15" ht="75">
      <c r="A171" s="797" t="s">
        <v>1111</v>
      </c>
      <c r="B171" s="797" t="s">
        <v>251</v>
      </c>
      <c r="C171" s="150">
        <v>177.48</v>
      </c>
      <c r="D171" s="773" t="s">
        <v>1112</v>
      </c>
      <c r="E171" s="782">
        <v>29990441295</v>
      </c>
      <c r="F171" s="825">
        <v>40826</v>
      </c>
      <c r="G171" s="825">
        <v>41922</v>
      </c>
      <c r="H171" s="782">
        <v>7173</v>
      </c>
      <c r="I171" s="782" t="s">
        <v>398</v>
      </c>
      <c r="J171" s="782" t="s">
        <v>398</v>
      </c>
      <c r="K171" s="782" t="s">
        <v>398</v>
      </c>
      <c r="L171" s="782" t="s">
        <v>398</v>
      </c>
      <c r="M171" s="150">
        <v>59160000</v>
      </c>
      <c r="N171" s="782"/>
      <c r="O171" s="782"/>
    </row>
    <row r="172" spans="1:15">
      <c r="A172" s="823" t="s">
        <v>418</v>
      </c>
      <c r="B172" s="802" t="s">
        <v>14</v>
      </c>
      <c r="C172" s="824">
        <v>19.158000000000001</v>
      </c>
      <c r="D172" s="773" t="s">
        <v>419</v>
      </c>
      <c r="E172" s="782" t="s">
        <v>196</v>
      </c>
      <c r="F172" s="825">
        <v>40909</v>
      </c>
      <c r="G172" s="825">
        <v>41274</v>
      </c>
      <c r="H172" s="782">
        <v>5075</v>
      </c>
      <c r="I172" s="782" t="s">
        <v>411</v>
      </c>
      <c r="J172" s="802" t="s">
        <v>196</v>
      </c>
      <c r="K172" s="802"/>
      <c r="L172" s="802"/>
      <c r="M172" s="162">
        <v>20</v>
      </c>
      <c r="N172" s="802"/>
      <c r="O172" s="802"/>
    </row>
    <row r="173" spans="1:15" ht="75">
      <c r="A173" s="823" t="s">
        <v>402</v>
      </c>
      <c r="B173" s="802" t="s">
        <v>14</v>
      </c>
      <c r="C173" s="824">
        <v>720.6</v>
      </c>
      <c r="D173" s="773" t="s">
        <v>414</v>
      </c>
      <c r="E173" s="782" t="s">
        <v>415</v>
      </c>
      <c r="F173" s="825">
        <v>40892</v>
      </c>
      <c r="G173" s="782" t="s">
        <v>196</v>
      </c>
      <c r="H173" s="782">
        <v>7182</v>
      </c>
      <c r="I173" s="782" t="s">
        <v>275</v>
      </c>
      <c r="J173" s="802" t="s">
        <v>196</v>
      </c>
      <c r="K173" s="802"/>
      <c r="L173" s="802"/>
      <c r="M173" s="162">
        <v>720.6</v>
      </c>
      <c r="N173" s="802"/>
      <c r="O173" s="802"/>
    </row>
    <row r="174" spans="1:15" ht="270">
      <c r="A174" s="823" t="s">
        <v>422</v>
      </c>
      <c r="B174" s="802" t="s">
        <v>160</v>
      </c>
      <c r="C174" s="824">
        <v>36.771000000000001</v>
      </c>
      <c r="D174" s="773" t="s">
        <v>423</v>
      </c>
      <c r="E174" s="782" t="s">
        <v>424</v>
      </c>
      <c r="F174" s="825">
        <v>39997</v>
      </c>
      <c r="G174" s="782" t="s">
        <v>196</v>
      </c>
      <c r="H174" s="782">
        <v>100200</v>
      </c>
      <c r="I174" s="782" t="s">
        <v>275</v>
      </c>
      <c r="J174" s="802" t="s">
        <v>196</v>
      </c>
      <c r="K174" s="802"/>
      <c r="L174" s="802"/>
      <c r="M174" s="162">
        <v>36.771000000000001</v>
      </c>
      <c r="N174" s="802"/>
      <c r="O174" s="802"/>
    </row>
    <row r="175" spans="1:15" ht="75">
      <c r="A175" s="823" t="s">
        <v>402</v>
      </c>
      <c r="B175" s="802" t="s">
        <v>14</v>
      </c>
      <c r="C175" s="824">
        <v>60</v>
      </c>
      <c r="D175" s="773" t="s">
        <v>403</v>
      </c>
      <c r="E175" s="825" t="s">
        <v>404</v>
      </c>
      <c r="F175" s="825">
        <v>40840</v>
      </c>
      <c r="G175" s="782" t="s">
        <v>196</v>
      </c>
      <c r="H175" s="782">
        <v>5075</v>
      </c>
      <c r="I175" s="802" t="s">
        <v>405</v>
      </c>
      <c r="J175" s="802" t="s">
        <v>196</v>
      </c>
      <c r="K175" s="802"/>
      <c r="L175" s="802"/>
      <c r="M175" s="162">
        <v>57.03</v>
      </c>
      <c r="N175" s="802"/>
      <c r="O175" s="802"/>
    </row>
    <row r="176" spans="1:15" ht="45">
      <c r="A176" s="823" t="s">
        <v>418</v>
      </c>
      <c r="B176" s="802" t="s">
        <v>14</v>
      </c>
      <c r="C176" s="824">
        <v>49</v>
      </c>
      <c r="D176" s="773" t="s">
        <v>425</v>
      </c>
      <c r="E176" s="782" t="s">
        <v>196</v>
      </c>
      <c r="F176" s="782" t="s">
        <v>196</v>
      </c>
      <c r="G176" s="782" t="s">
        <v>196</v>
      </c>
      <c r="H176" s="782">
        <v>7184</v>
      </c>
      <c r="I176" s="802" t="s">
        <v>426</v>
      </c>
      <c r="J176" s="802" t="s">
        <v>196</v>
      </c>
      <c r="K176" s="802"/>
      <c r="L176" s="802"/>
      <c r="M176" s="162">
        <v>49</v>
      </c>
      <c r="N176" s="802"/>
      <c r="O176" s="802"/>
    </row>
    <row r="177" spans="1:15" ht="75">
      <c r="A177" s="823" t="s">
        <v>402</v>
      </c>
      <c r="B177" s="802" t="s">
        <v>14</v>
      </c>
      <c r="C177" s="824">
        <v>206.09</v>
      </c>
      <c r="D177" s="773" t="s">
        <v>414</v>
      </c>
      <c r="E177" s="782" t="s">
        <v>415</v>
      </c>
      <c r="F177" s="825">
        <v>40892</v>
      </c>
      <c r="G177" s="782" t="s">
        <v>196</v>
      </c>
      <c r="H177" s="782">
        <v>7182</v>
      </c>
      <c r="I177" s="802" t="s">
        <v>275</v>
      </c>
      <c r="J177" s="802" t="s">
        <v>196</v>
      </c>
      <c r="K177" s="802"/>
      <c r="L177" s="802"/>
      <c r="M177" s="162">
        <v>206.09</v>
      </c>
      <c r="N177" s="802"/>
      <c r="O177" s="802"/>
    </row>
    <row r="178" spans="1:15" ht="30">
      <c r="A178" s="823" t="s">
        <v>427</v>
      </c>
      <c r="B178" s="802" t="s">
        <v>14</v>
      </c>
      <c r="C178" s="824">
        <v>160</v>
      </c>
      <c r="D178" s="773" t="s">
        <v>428</v>
      </c>
      <c r="E178" s="782" t="s">
        <v>196</v>
      </c>
      <c r="F178" s="782" t="s">
        <v>196</v>
      </c>
      <c r="G178" s="782" t="s">
        <v>196</v>
      </c>
      <c r="H178" s="827" t="s">
        <v>429</v>
      </c>
      <c r="I178" s="802" t="s">
        <v>426</v>
      </c>
      <c r="J178" s="802" t="s">
        <v>430</v>
      </c>
      <c r="K178" s="802"/>
      <c r="L178" s="802"/>
      <c r="M178" s="162">
        <v>160</v>
      </c>
      <c r="N178" s="802"/>
      <c r="O178" s="802"/>
    </row>
    <row r="179" spans="1:15" ht="30">
      <c r="A179" s="823" t="s">
        <v>306</v>
      </c>
      <c r="B179" s="822" t="s">
        <v>14</v>
      </c>
      <c r="C179" s="155">
        <f>108500000/1000000</f>
        <v>108.5</v>
      </c>
      <c r="D179" s="773" t="s">
        <v>307</v>
      </c>
      <c r="E179" s="782" t="s">
        <v>308</v>
      </c>
      <c r="F179" s="152">
        <v>40938</v>
      </c>
      <c r="G179" s="152">
        <v>41027</v>
      </c>
      <c r="H179" s="779">
        <v>7280</v>
      </c>
      <c r="I179" s="153" t="s">
        <v>280</v>
      </c>
      <c r="J179" s="153">
        <v>2</v>
      </c>
      <c r="K179" s="790"/>
      <c r="L179" s="790"/>
      <c r="M179" s="154">
        <f>108500000/1000000</f>
        <v>108.5</v>
      </c>
      <c r="N179" s="790"/>
      <c r="O179" s="790"/>
    </row>
    <row r="180" spans="1:15" ht="30">
      <c r="A180" s="823" t="s">
        <v>306</v>
      </c>
      <c r="B180" s="822" t="s">
        <v>14</v>
      </c>
      <c r="C180" s="155">
        <f>238331/1000000</f>
        <v>0.23833099999999999</v>
      </c>
      <c r="D180" s="773" t="s">
        <v>309</v>
      </c>
      <c r="E180" s="782" t="s">
        <v>310</v>
      </c>
      <c r="F180" s="152">
        <v>40934</v>
      </c>
      <c r="G180" s="152">
        <v>41174</v>
      </c>
      <c r="H180" s="779">
        <v>5060</v>
      </c>
      <c r="I180" s="153" t="s">
        <v>311</v>
      </c>
      <c r="J180" s="153" t="s">
        <v>312</v>
      </c>
      <c r="K180" s="790"/>
      <c r="L180" s="790"/>
      <c r="M180" s="154">
        <f>238331/1000000</f>
        <v>0.23833099999999999</v>
      </c>
      <c r="N180" s="790"/>
      <c r="O180" s="790"/>
    </row>
    <row r="181" spans="1:15" ht="30">
      <c r="A181" s="151" t="s">
        <v>306</v>
      </c>
      <c r="B181" s="822" t="s">
        <v>14</v>
      </c>
      <c r="C181" s="155">
        <f>111000000/1000000</f>
        <v>111</v>
      </c>
      <c r="D181" s="773" t="s">
        <v>313</v>
      </c>
      <c r="E181" s="782" t="s">
        <v>314</v>
      </c>
      <c r="F181" s="152">
        <v>40857</v>
      </c>
      <c r="G181" s="152">
        <v>41157</v>
      </c>
      <c r="H181" s="779">
        <v>7280</v>
      </c>
      <c r="I181" s="153" t="s">
        <v>315</v>
      </c>
      <c r="J181" s="153">
        <v>450</v>
      </c>
      <c r="K181" s="790"/>
      <c r="L181" s="790"/>
      <c r="M181" s="154">
        <f>111000000/1000000</f>
        <v>111</v>
      </c>
      <c r="N181" s="790"/>
      <c r="O181" s="790"/>
    </row>
    <row r="182" spans="1:15" ht="30">
      <c r="A182" s="151" t="s">
        <v>306</v>
      </c>
      <c r="B182" s="822" t="s">
        <v>14</v>
      </c>
      <c r="C182" s="155">
        <f>501795000/1000000</f>
        <v>501.79500000000002</v>
      </c>
      <c r="D182" s="773" t="s">
        <v>316</v>
      </c>
      <c r="E182" s="782" t="s">
        <v>317</v>
      </c>
      <c r="F182" s="152">
        <v>40840</v>
      </c>
      <c r="G182" s="152">
        <v>40990</v>
      </c>
      <c r="H182" s="779">
        <v>7280</v>
      </c>
      <c r="I182" s="153" t="s">
        <v>280</v>
      </c>
      <c r="J182" s="153">
        <v>1</v>
      </c>
      <c r="K182" s="790"/>
      <c r="L182" s="790"/>
      <c r="M182" s="154">
        <f>501795000/1000000</f>
        <v>501.79500000000002</v>
      </c>
      <c r="N182" s="790"/>
      <c r="O182" s="790"/>
    </row>
    <row r="183" spans="1:15" ht="30">
      <c r="A183" s="151" t="s">
        <v>306</v>
      </c>
      <c r="B183" s="822" t="s">
        <v>14</v>
      </c>
      <c r="C183" s="155">
        <f>185374000/1000000</f>
        <v>185.374</v>
      </c>
      <c r="D183" s="773" t="s">
        <v>316</v>
      </c>
      <c r="E183" s="782" t="s">
        <v>318</v>
      </c>
      <c r="F183" s="152">
        <v>40840</v>
      </c>
      <c r="G183" s="152">
        <v>40900</v>
      </c>
      <c r="H183" s="779">
        <v>7280</v>
      </c>
      <c r="I183" s="153" t="s">
        <v>280</v>
      </c>
      <c r="J183" s="153">
        <v>1</v>
      </c>
      <c r="K183" s="790"/>
      <c r="L183" s="790"/>
      <c r="M183" s="154">
        <f>185374000/1000000</f>
        <v>185.374</v>
      </c>
      <c r="N183" s="790"/>
      <c r="O183" s="790"/>
    </row>
    <row r="184" spans="1:15" ht="60">
      <c r="A184" s="151" t="s">
        <v>306</v>
      </c>
      <c r="B184" s="822" t="s">
        <v>14</v>
      </c>
      <c r="C184" s="155">
        <f>162280794/1000000</f>
        <v>162.28079399999999</v>
      </c>
      <c r="D184" s="773" t="s">
        <v>319</v>
      </c>
      <c r="E184" s="782" t="s">
        <v>320</v>
      </c>
      <c r="F184" s="152">
        <v>40847</v>
      </c>
      <c r="G184" s="152">
        <v>40928</v>
      </c>
      <c r="H184" s="779">
        <v>7280</v>
      </c>
      <c r="I184" s="153" t="s">
        <v>311</v>
      </c>
      <c r="J184" s="153" t="s">
        <v>312</v>
      </c>
      <c r="K184" s="790"/>
      <c r="L184" s="790"/>
      <c r="M184" s="154">
        <f>162280794/1000000</f>
        <v>162.28079399999999</v>
      </c>
      <c r="N184" s="790"/>
      <c r="O184" s="790"/>
    </row>
    <row r="185" spans="1:15" ht="45">
      <c r="A185" s="151" t="s">
        <v>306</v>
      </c>
      <c r="B185" s="822" t="s">
        <v>14</v>
      </c>
      <c r="C185" s="155">
        <f>207241231.1/1000000</f>
        <v>207.24123109999999</v>
      </c>
      <c r="D185" s="773" t="s">
        <v>321</v>
      </c>
      <c r="E185" s="782" t="s">
        <v>322</v>
      </c>
      <c r="F185" s="152">
        <v>40834</v>
      </c>
      <c r="G185" s="152">
        <v>41104</v>
      </c>
      <c r="H185" s="779">
        <v>7280</v>
      </c>
      <c r="I185" s="153" t="s">
        <v>323</v>
      </c>
      <c r="J185" s="153">
        <v>7</v>
      </c>
      <c r="K185" s="790"/>
      <c r="L185" s="790"/>
      <c r="M185" s="154">
        <f>207241231.1/1000000</f>
        <v>207.24123109999999</v>
      </c>
      <c r="N185" s="790"/>
      <c r="O185" s="790"/>
    </row>
    <row r="186" spans="1:15" ht="30">
      <c r="A186" s="151" t="s">
        <v>306</v>
      </c>
      <c r="B186" s="822" t="s">
        <v>14</v>
      </c>
      <c r="C186" s="155">
        <f>1000000/1000000</f>
        <v>1</v>
      </c>
      <c r="D186" s="773" t="s">
        <v>324</v>
      </c>
      <c r="E186" s="782" t="s">
        <v>325</v>
      </c>
      <c r="F186" s="152">
        <v>40672</v>
      </c>
      <c r="G186" s="152">
        <v>41032</v>
      </c>
      <c r="H186" s="779">
        <v>7280</v>
      </c>
      <c r="I186" s="153" t="s">
        <v>280</v>
      </c>
      <c r="J186" s="153">
        <v>108</v>
      </c>
      <c r="K186" s="790"/>
      <c r="L186" s="790"/>
      <c r="M186" s="154">
        <f>1000000/1000000</f>
        <v>1</v>
      </c>
      <c r="N186" s="790"/>
      <c r="O186" s="790"/>
    </row>
    <row r="187" spans="1:15" ht="45">
      <c r="A187" s="151" t="s">
        <v>306</v>
      </c>
      <c r="B187" s="822" t="s">
        <v>14</v>
      </c>
      <c r="C187" s="155">
        <f>677964319.37/1000000</f>
        <v>677.96431937</v>
      </c>
      <c r="D187" s="773" t="s">
        <v>326</v>
      </c>
      <c r="E187" s="782" t="s">
        <v>327</v>
      </c>
      <c r="F187" s="152">
        <v>40637</v>
      </c>
      <c r="G187" s="152">
        <v>40997</v>
      </c>
      <c r="H187" s="779">
        <v>7280</v>
      </c>
      <c r="I187" s="153" t="s">
        <v>323</v>
      </c>
      <c r="J187" s="153">
        <v>3</v>
      </c>
      <c r="K187" s="790"/>
      <c r="L187" s="790"/>
      <c r="M187" s="154">
        <f>677964319.37/1000000</f>
        <v>677.96431937</v>
      </c>
      <c r="N187" s="790"/>
      <c r="O187" s="790"/>
    </row>
    <row r="188" spans="1:15" ht="60">
      <c r="A188" s="151" t="s">
        <v>306</v>
      </c>
      <c r="B188" s="822" t="s">
        <v>14</v>
      </c>
      <c r="C188" s="155">
        <f>67687246.71/1000000</f>
        <v>67.687246709999997</v>
      </c>
      <c r="D188" s="773" t="s">
        <v>328</v>
      </c>
      <c r="E188" s="782" t="s">
        <v>329</v>
      </c>
      <c r="F188" s="152">
        <v>40749</v>
      </c>
      <c r="G188" s="152">
        <v>41109</v>
      </c>
      <c r="H188" s="779">
        <v>7280</v>
      </c>
      <c r="I188" s="153" t="s">
        <v>323</v>
      </c>
      <c r="J188" s="153">
        <v>7</v>
      </c>
      <c r="K188" s="790"/>
      <c r="L188" s="790"/>
      <c r="M188" s="154">
        <f>67687246.71/1000000</f>
        <v>67.687246709999997</v>
      </c>
      <c r="N188" s="790"/>
      <c r="O188" s="790"/>
    </row>
    <row r="189" spans="1:15" ht="30">
      <c r="A189" s="151" t="s">
        <v>306</v>
      </c>
      <c r="B189" s="822" t="s">
        <v>251</v>
      </c>
      <c r="C189" s="155">
        <f>175654000/1000000</f>
        <v>175.654</v>
      </c>
      <c r="D189" s="773" t="s">
        <v>330</v>
      </c>
      <c r="E189" s="782" t="s">
        <v>331</v>
      </c>
      <c r="F189" s="152">
        <v>40788</v>
      </c>
      <c r="G189" s="152">
        <v>41328</v>
      </c>
      <c r="H189" s="779">
        <v>5060</v>
      </c>
      <c r="I189" s="155" t="s">
        <v>332</v>
      </c>
      <c r="J189" s="153" t="s">
        <v>312</v>
      </c>
      <c r="K189" s="790"/>
      <c r="L189" s="790"/>
      <c r="M189" s="154">
        <f>175654000/1000000</f>
        <v>175.654</v>
      </c>
      <c r="N189" s="790"/>
      <c r="O189" s="790"/>
    </row>
    <row r="190" spans="1:15" ht="60">
      <c r="A190" s="151" t="s">
        <v>306</v>
      </c>
      <c r="B190" s="822" t="s">
        <v>14</v>
      </c>
      <c r="C190" s="155">
        <f>79319067.72/1000000</f>
        <v>79.319067719999993</v>
      </c>
      <c r="D190" s="773" t="s">
        <v>333</v>
      </c>
      <c r="E190" s="782" t="s">
        <v>334</v>
      </c>
      <c r="F190" s="152">
        <v>40581</v>
      </c>
      <c r="G190" s="152">
        <v>40991</v>
      </c>
      <c r="H190" s="779">
        <v>5060</v>
      </c>
      <c r="I190" s="155" t="s">
        <v>335</v>
      </c>
      <c r="J190" s="153">
        <v>900</v>
      </c>
      <c r="K190" s="790"/>
      <c r="L190" s="790"/>
      <c r="M190" s="154">
        <f>79319067.72/1000000</f>
        <v>79.319067719999993</v>
      </c>
      <c r="N190" s="790"/>
      <c r="O190" s="790"/>
    </row>
    <row r="191" spans="1:15" ht="60">
      <c r="A191" s="151" t="s">
        <v>306</v>
      </c>
      <c r="B191" s="822" t="s">
        <v>14</v>
      </c>
      <c r="C191" s="153">
        <f>80000000/1000000</f>
        <v>80</v>
      </c>
      <c r="D191" s="773" t="s">
        <v>336</v>
      </c>
      <c r="E191" s="782" t="s">
        <v>337</v>
      </c>
      <c r="F191" s="156" t="s">
        <v>196</v>
      </c>
      <c r="G191" s="156" t="s">
        <v>196</v>
      </c>
      <c r="H191" s="779">
        <v>7280</v>
      </c>
      <c r="I191" s="153" t="s">
        <v>311</v>
      </c>
      <c r="J191" s="153" t="s">
        <v>312</v>
      </c>
      <c r="K191" s="790"/>
      <c r="L191" s="790"/>
      <c r="M191" s="157">
        <f>80000000/1000000</f>
        <v>80</v>
      </c>
      <c r="N191" s="790"/>
      <c r="O191" s="790"/>
    </row>
    <row r="192" spans="1:15" ht="30">
      <c r="A192" s="151" t="s">
        <v>306</v>
      </c>
      <c r="B192" s="822" t="s">
        <v>14</v>
      </c>
      <c r="C192" s="153">
        <f>862069000/1000000</f>
        <v>862.06899999999996</v>
      </c>
      <c r="D192" s="773" t="s">
        <v>338</v>
      </c>
      <c r="E192" s="782" t="s">
        <v>337</v>
      </c>
      <c r="F192" s="156" t="s">
        <v>196</v>
      </c>
      <c r="G192" s="156" t="s">
        <v>196</v>
      </c>
      <c r="H192" s="779">
        <v>7280</v>
      </c>
      <c r="I192" s="153" t="s">
        <v>311</v>
      </c>
      <c r="J192" s="153" t="s">
        <v>312</v>
      </c>
      <c r="K192" s="790"/>
      <c r="L192" s="790"/>
      <c r="M192" s="157">
        <f>862069000/1000000</f>
        <v>862.06899999999996</v>
      </c>
      <c r="N192" s="790"/>
      <c r="O192" s="790"/>
    </row>
    <row r="193" spans="1:15" ht="45">
      <c r="A193" s="151" t="s">
        <v>306</v>
      </c>
      <c r="B193" s="822" t="s">
        <v>14</v>
      </c>
      <c r="C193" s="153">
        <f>85000000/1000000</f>
        <v>85</v>
      </c>
      <c r="D193" s="773" t="s">
        <v>339</v>
      </c>
      <c r="E193" s="782" t="s">
        <v>337</v>
      </c>
      <c r="F193" s="156" t="s">
        <v>196</v>
      </c>
      <c r="G193" s="156" t="s">
        <v>196</v>
      </c>
      <c r="H193" s="779">
        <v>5060</v>
      </c>
      <c r="I193" s="158" t="s">
        <v>311</v>
      </c>
      <c r="J193" s="801" t="s">
        <v>312</v>
      </c>
      <c r="K193" s="790"/>
      <c r="L193" s="790"/>
      <c r="M193" s="157">
        <f>85000000/1000000</f>
        <v>85</v>
      </c>
      <c r="N193" s="790"/>
      <c r="O193" s="790"/>
    </row>
    <row r="194" spans="1:15" ht="30">
      <c r="A194" s="151" t="s">
        <v>306</v>
      </c>
      <c r="B194" s="822" t="s">
        <v>14</v>
      </c>
      <c r="C194" s="153">
        <f>385000000/1000000</f>
        <v>385</v>
      </c>
      <c r="D194" s="773" t="s">
        <v>340</v>
      </c>
      <c r="E194" s="782" t="s">
        <v>337</v>
      </c>
      <c r="F194" s="156" t="s">
        <v>196</v>
      </c>
      <c r="G194" s="156" t="s">
        <v>196</v>
      </c>
      <c r="H194" s="779">
        <v>5060</v>
      </c>
      <c r="I194" s="158" t="s">
        <v>311</v>
      </c>
      <c r="J194" s="801" t="s">
        <v>312</v>
      </c>
      <c r="K194" s="790"/>
      <c r="L194" s="790"/>
      <c r="M194" s="157">
        <f>385000000/1000000</f>
        <v>385</v>
      </c>
      <c r="N194" s="790"/>
      <c r="O194" s="790"/>
    </row>
    <row r="195" spans="1:15" ht="30">
      <c r="A195" s="151" t="s">
        <v>306</v>
      </c>
      <c r="B195" s="822" t="s">
        <v>14</v>
      </c>
      <c r="C195" s="153">
        <f>139158725/1000000</f>
        <v>139.158725</v>
      </c>
      <c r="D195" s="773" t="s">
        <v>341</v>
      </c>
      <c r="E195" s="782" t="s">
        <v>337</v>
      </c>
      <c r="F195" s="156" t="s">
        <v>196</v>
      </c>
      <c r="G195" s="156" t="s">
        <v>196</v>
      </c>
      <c r="H195" s="779">
        <v>5060</v>
      </c>
      <c r="I195" s="158" t="s">
        <v>280</v>
      </c>
      <c r="J195" s="801">
        <v>5</v>
      </c>
      <c r="K195" s="790"/>
      <c r="L195" s="790"/>
      <c r="M195" s="157">
        <f>139158725/1000000</f>
        <v>139.158725</v>
      </c>
      <c r="N195" s="790"/>
      <c r="O195" s="790"/>
    </row>
    <row r="196" spans="1:15" ht="45">
      <c r="A196" s="151" t="s">
        <v>306</v>
      </c>
      <c r="B196" s="822" t="s">
        <v>14</v>
      </c>
      <c r="C196" s="153">
        <f>830000000/1000000</f>
        <v>830</v>
      </c>
      <c r="D196" s="773" t="s">
        <v>342</v>
      </c>
      <c r="E196" s="782" t="s">
        <v>337</v>
      </c>
      <c r="F196" s="156" t="s">
        <v>196</v>
      </c>
      <c r="G196" s="156" t="s">
        <v>196</v>
      </c>
      <c r="H196" s="779">
        <v>5060</v>
      </c>
      <c r="I196" s="158" t="s">
        <v>311</v>
      </c>
      <c r="J196" s="801" t="s">
        <v>312</v>
      </c>
      <c r="K196" s="790"/>
      <c r="L196" s="790"/>
      <c r="M196" s="157">
        <f>830000000/1000000</f>
        <v>830</v>
      </c>
      <c r="N196" s="790"/>
      <c r="O196" s="790"/>
    </row>
    <row r="197" spans="1:15" ht="30">
      <c r="A197" s="151" t="s">
        <v>306</v>
      </c>
      <c r="B197" s="822" t="s">
        <v>14</v>
      </c>
      <c r="C197" s="153">
        <f>33000000/1000000</f>
        <v>33</v>
      </c>
      <c r="D197" s="773" t="s">
        <v>343</v>
      </c>
      <c r="E197" s="782" t="s">
        <v>337</v>
      </c>
      <c r="F197" s="156" t="s">
        <v>196</v>
      </c>
      <c r="G197" s="156" t="s">
        <v>196</v>
      </c>
      <c r="H197" s="779">
        <v>7280</v>
      </c>
      <c r="I197" s="158" t="s">
        <v>311</v>
      </c>
      <c r="J197" s="801" t="s">
        <v>312</v>
      </c>
      <c r="K197" s="790"/>
      <c r="L197" s="790"/>
      <c r="M197" s="157">
        <f>33000000/1000000</f>
        <v>33</v>
      </c>
      <c r="N197" s="790"/>
      <c r="O197" s="790"/>
    </row>
    <row r="198" spans="1:15" ht="30">
      <c r="A198" s="151" t="s">
        <v>306</v>
      </c>
      <c r="B198" s="822" t="s">
        <v>14</v>
      </c>
      <c r="C198" s="153">
        <v>360</v>
      </c>
      <c r="D198" s="773" t="s">
        <v>344</v>
      </c>
      <c r="E198" s="782" t="s">
        <v>337</v>
      </c>
      <c r="F198" s="156" t="s">
        <v>196</v>
      </c>
      <c r="G198" s="156" t="s">
        <v>196</v>
      </c>
      <c r="H198" s="779">
        <v>5060</v>
      </c>
      <c r="I198" s="158" t="s">
        <v>311</v>
      </c>
      <c r="J198" s="801" t="s">
        <v>312</v>
      </c>
      <c r="K198" s="790"/>
      <c r="L198" s="790"/>
      <c r="M198" s="157">
        <f>360000000/1000000</f>
        <v>360</v>
      </c>
      <c r="N198" s="790"/>
      <c r="O198" s="790"/>
    </row>
    <row r="199" spans="1:15" ht="30">
      <c r="A199" s="151" t="s">
        <v>306</v>
      </c>
      <c r="B199" s="822" t="s">
        <v>14</v>
      </c>
      <c r="C199" s="153">
        <v>90</v>
      </c>
      <c r="D199" s="773" t="s">
        <v>345</v>
      </c>
      <c r="E199" s="782" t="s">
        <v>337</v>
      </c>
      <c r="F199" s="156" t="s">
        <v>196</v>
      </c>
      <c r="G199" s="156" t="s">
        <v>196</v>
      </c>
      <c r="H199" s="779">
        <v>5060</v>
      </c>
      <c r="I199" s="158" t="s">
        <v>280</v>
      </c>
      <c r="J199" s="801">
        <v>10</v>
      </c>
      <c r="K199" s="790"/>
      <c r="L199" s="790"/>
      <c r="M199" s="157">
        <f>90000000/1000000</f>
        <v>90</v>
      </c>
      <c r="N199" s="790"/>
      <c r="O199" s="790"/>
    </row>
    <row r="200" spans="1:15" ht="30">
      <c r="A200" s="151" t="s">
        <v>306</v>
      </c>
      <c r="B200" s="822" t="s">
        <v>14</v>
      </c>
      <c r="C200" s="153">
        <v>15</v>
      </c>
      <c r="D200" s="773" t="s">
        <v>346</v>
      </c>
      <c r="E200" s="782" t="s">
        <v>337</v>
      </c>
      <c r="F200" s="156" t="s">
        <v>196</v>
      </c>
      <c r="G200" s="156" t="s">
        <v>196</v>
      </c>
      <c r="H200" s="779">
        <v>7280</v>
      </c>
      <c r="I200" s="158" t="s">
        <v>280</v>
      </c>
      <c r="J200" s="801">
        <v>3</v>
      </c>
      <c r="K200" s="790"/>
      <c r="L200" s="790"/>
      <c r="M200" s="157">
        <f>15000000/1000000</f>
        <v>15</v>
      </c>
      <c r="N200" s="790"/>
      <c r="O200" s="790"/>
    </row>
    <row r="201" spans="1:15" ht="30">
      <c r="A201" s="151" t="s">
        <v>306</v>
      </c>
      <c r="B201" s="822" t="s">
        <v>14</v>
      </c>
      <c r="C201" s="153">
        <v>15</v>
      </c>
      <c r="D201" s="773" t="s">
        <v>347</v>
      </c>
      <c r="E201" s="782" t="s">
        <v>337</v>
      </c>
      <c r="F201" s="156" t="s">
        <v>196</v>
      </c>
      <c r="G201" s="156" t="s">
        <v>196</v>
      </c>
      <c r="H201" s="779">
        <v>7280</v>
      </c>
      <c r="I201" s="158" t="s">
        <v>311</v>
      </c>
      <c r="J201" s="801" t="s">
        <v>312</v>
      </c>
      <c r="K201" s="790"/>
      <c r="L201" s="790"/>
      <c r="M201" s="157">
        <f>15000000/1000000</f>
        <v>15</v>
      </c>
      <c r="N201" s="790"/>
      <c r="O201" s="790"/>
    </row>
    <row r="202" spans="1:15" ht="30">
      <c r="A202" s="151" t="s">
        <v>306</v>
      </c>
      <c r="B202" s="822" t="s">
        <v>14</v>
      </c>
      <c r="C202" s="153">
        <v>200</v>
      </c>
      <c r="D202" s="773" t="s">
        <v>348</v>
      </c>
      <c r="E202" s="782" t="s">
        <v>337</v>
      </c>
      <c r="F202" s="156" t="s">
        <v>196</v>
      </c>
      <c r="G202" s="156" t="s">
        <v>196</v>
      </c>
      <c r="H202" s="779">
        <v>7280</v>
      </c>
      <c r="I202" s="158" t="s">
        <v>280</v>
      </c>
      <c r="J202" s="801">
        <v>20</v>
      </c>
      <c r="K202" s="790"/>
      <c r="L202" s="790"/>
      <c r="M202" s="157">
        <f>200000000/1000000</f>
        <v>200</v>
      </c>
      <c r="N202" s="790"/>
      <c r="O202" s="790"/>
    </row>
    <row r="203" spans="1:15" ht="45">
      <c r="A203" s="151" t="s">
        <v>306</v>
      </c>
      <c r="B203" s="822" t="s">
        <v>14</v>
      </c>
      <c r="C203" s="153">
        <v>710.77300000000002</v>
      </c>
      <c r="D203" s="773" t="s">
        <v>349</v>
      </c>
      <c r="E203" s="782" t="s">
        <v>337</v>
      </c>
      <c r="F203" s="156" t="s">
        <v>196</v>
      </c>
      <c r="G203" s="152" t="s">
        <v>196</v>
      </c>
      <c r="H203" s="779">
        <v>5060</v>
      </c>
      <c r="I203" s="158" t="s">
        <v>311</v>
      </c>
      <c r="J203" s="801" t="s">
        <v>312</v>
      </c>
      <c r="K203" s="790"/>
      <c r="L203" s="790"/>
      <c r="M203" s="157">
        <f>710773000/1000000</f>
        <v>710.77300000000002</v>
      </c>
      <c r="N203" s="790"/>
      <c r="O203" s="790"/>
    </row>
    <row r="204" spans="1:15" ht="30">
      <c r="A204" s="151" t="s">
        <v>306</v>
      </c>
      <c r="B204" s="822" t="s">
        <v>14</v>
      </c>
      <c r="C204" s="153">
        <v>55</v>
      </c>
      <c r="D204" s="773" t="s">
        <v>350</v>
      </c>
      <c r="E204" s="782" t="s">
        <v>337</v>
      </c>
      <c r="F204" s="156" t="s">
        <v>196</v>
      </c>
      <c r="G204" s="152" t="s">
        <v>196</v>
      </c>
      <c r="H204" s="779">
        <v>5060</v>
      </c>
      <c r="I204" s="158" t="s">
        <v>280</v>
      </c>
      <c r="J204" s="801">
        <v>1</v>
      </c>
      <c r="K204" s="790"/>
      <c r="L204" s="790"/>
      <c r="M204" s="157">
        <f>55000000/1000000</f>
        <v>55</v>
      </c>
      <c r="N204" s="790"/>
      <c r="O204" s="790"/>
    </row>
    <row r="205" spans="1:15" ht="45">
      <c r="A205" s="151" t="s">
        <v>306</v>
      </c>
      <c r="B205" s="822" t="s">
        <v>14</v>
      </c>
      <c r="C205" s="153">
        <v>599.13800000000003</v>
      </c>
      <c r="D205" s="773" t="s">
        <v>351</v>
      </c>
      <c r="E205" s="782" t="s">
        <v>337</v>
      </c>
      <c r="F205" s="156" t="s">
        <v>196</v>
      </c>
      <c r="G205" s="152" t="s">
        <v>196</v>
      </c>
      <c r="H205" s="779">
        <v>5060</v>
      </c>
      <c r="I205" s="158" t="s">
        <v>311</v>
      </c>
      <c r="J205" s="801" t="s">
        <v>312</v>
      </c>
      <c r="K205" s="790"/>
      <c r="L205" s="790"/>
      <c r="M205" s="157">
        <f>599138000/1000000</f>
        <v>599.13800000000003</v>
      </c>
      <c r="N205" s="790"/>
      <c r="O205" s="790"/>
    </row>
    <row r="206" spans="1:15" ht="60">
      <c r="A206" s="151" t="s">
        <v>306</v>
      </c>
      <c r="B206" s="822" t="s">
        <v>14</v>
      </c>
      <c r="C206" s="153">
        <v>120</v>
      </c>
      <c r="D206" s="773" t="s">
        <v>352</v>
      </c>
      <c r="E206" s="782" t="s">
        <v>337</v>
      </c>
      <c r="F206" s="782" t="s">
        <v>196</v>
      </c>
      <c r="G206" s="152" t="s">
        <v>196</v>
      </c>
      <c r="H206" s="779">
        <v>7280</v>
      </c>
      <c r="I206" s="158" t="s">
        <v>323</v>
      </c>
      <c r="J206" s="801">
        <v>5</v>
      </c>
      <c r="K206" s="790"/>
      <c r="L206" s="790"/>
      <c r="M206" s="157">
        <f>120000000/1000000</f>
        <v>120</v>
      </c>
      <c r="N206" s="790"/>
      <c r="O206" s="790"/>
    </row>
    <row r="207" spans="1:15" ht="60">
      <c r="A207" s="151" t="s">
        <v>306</v>
      </c>
      <c r="B207" s="822" t="s">
        <v>14</v>
      </c>
      <c r="C207" s="153">
        <v>250</v>
      </c>
      <c r="D207" s="773" t="s">
        <v>353</v>
      </c>
      <c r="E207" s="782" t="s">
        <v>337</v>
      </c>
      <c r="F207" s="782" t="s">
        <v>196</v>
      </c>
      <c r="G207" s="152" t="s">
        <v>196</v>
      </c>
      <c r="H207" s="779">
        <v>7280</v>
      </c>
      <c r="I207" s="158" t="s">
        <v>323</v>
      </c>
      <c r="J207" s="801">
        <v>5</v>
      </c>
      <c r="K207" s="790"/>
      <c r="L207" s="790"/>
      <c r="M207" s="157">
        <f>250000000/1000000</f>
        <v>250</v>
      </c>
      <c r="N207" s="790"/>
      <c r="O207" s="790"/>
    </row>
    <row r="208" spans="1:15" ht="45">
      <c r="A208" s="151" t="s">
        <v>306</v>
      </c>
      <c r="B208" s="822" t="s">
        <v>14</v>
      </c>
      <c r="C208" s="153">
        <v>131.18</v>
      </c>
      <c r="D208" s="773" t="s">
        <v>354</v>
      </c>
      <c r="E208" s="782" t="s">
        <v>337</v>
      </c>
      <c r="F208" s="782" t="s">
        <v>196</v>
      </c>
      <c r="G208" s="152" t="s">
        <v>196</v>
      </c>
      <c r="H208" s="779">
        <v>7280</v>
      </c>
      <c r="I208" s="158" t="s">
        <v>323</v>
      </c>
      <c r="J208" s="801">
        <v>12</v>
      </c>
      <c r="K208" s="790"/>
      <c r="L208" s="790"/>
      <c r="M208" s="157">
        <f>131180000/1000000</f>
        <v>131.18</v>
      </c>
      <c r="N208" s="790"/>
      <c r="O208" s="790"/>
    </row>
    <row r="209" spans="1:15" ht="30">
      <c r="A209" s="151" t="s">
        <v>306</v>
      </c>
      <c r="B209" s="822" t="s">
        <v>14</v>
      </c>
      <c r="C209" s="153">
        <v>67.239999999999995</v>
      </c>
      <c r="D209" s="773" t="s">
        <v>355</v>
      </c>
      <c r="E209" s="782" t="s">
        <v>337</v>
      </c>
      <c r="F209" s="782" t="s">
        <v>196</v>
      </c>
      <c r="G209" s="152" t="s">
        <v>196</v>
      </c>
      <c r="H209" s="779">
        <v>7280</v>
      </c>
      <c r="I209" s="158" t="s">
        <v>323</v>
      </c>
      <c r="J209" s="801">
        <v>12</v>
      </c>
      <c r="K209" s="790"/>
      <c r="L209" s="790"/>
      <c r="M209" s="157">
        <f>67240000/1000000</f>
        <v>67.239999999999995</v>
      </c>
      <c r="N209" s="790"/>
      <c r="O209" s="790"/>
    </row>
    <row r="210" spans="1:15" ht="30">
      <c r="A210" s="151" t="s">
        <v>306</v>
      </c>
      <c r="B210" s="822" t="s">
        <v>14</v>
      </c>
      <c r="C210" s="153">
        <v>150</v>
      </c>
      <c r="D210" s="773" t="s">
        <v>356</v>
      </c>
      <c r="E210" s="782" t="s">
        <v>337</v>
      </c>
      <c r="F210" s="782" t="s">
        <v>196</v>
      </c>
      <c r="G210" s="152" t="s">
        <v>196</v>
      </c>
      <c r="H210" s="779">
        <v>7280</v>
      </c>
      <c r="I210" s="158" t="s">
        <v>280</v>
      </c>
      <c r="J210" s="801">
        <v>50</v>
      </c>
      <c r="K210" s="790"/>
      <c r="L210" s="790"/>
      <c r="M210" s="157">
        <f>150000000/1000000</f>
        <v>150</v>
      </c>
      <c r="N210" s="790"/>
      <c r="O210" s="790"/>
    </row>
    <row r="211" spans="1:15" ht="30">
      <c r="A211" s="151" t="s">
        <v>1113</v>
      </c>
      <c r="B211" s="822" t="s">
        <v>39</v>
      </c>
      <c r="C211" s="828">
        <v>151</v>
      </c>
      <c r="D211" s="773" t="s">
        <v>357</v>
      </c>
      <c r="E211" s="782" t="s">
        <v>196</v>
      </c>
      <c r="F211" s="782" t="s">
        <v>196</v>
      </c>
      <c r="G211" s="800" t="s">
        <v>196</v>
      </c>
      <c r="H211" s="800">
        <v>7240</v>
      </c>
      <c r="I211" s="798" t="s">
        <v>358</v>
      </c>
      <c r="J211" s="829">
        <v>12</v>
      </c>
      <c r="K211" s="798"/>
      <c r="L211" s="798"/>
      <c r="M211" s="159">
        <v>75</v>
      </c>
      <c r="N211" s="798"/>
      <c r="O211" s="798"/>
    </row>
    <row r="212" spans="1:15" ht="30">
      <c r="A212" s="151" t="s">
        <v>1113</v>
      </c>
      <c r="B212" s="822" t="s">
        <v>39</v>
      </c>
      <c r="C212" s="828">
        <v>31</v>
      </c>
      <c r="D212" s="773" t="s">
        <v>359</v>
      </c>
      <c r="E212" s="782" t="s">
        <v>196</v>
      </c>
      <c r="F212" s="782" t="s">
        <v>196</v>
      </c>
      <c r="G212" s="800" t="s">
        <v>196</v>
      </c>
      <c r="H212" s="800">
        <v>7240</v>
      </c>
      <c r="I212" s="798" t="s">
        <v>358</v>
      </c>
      <c r="J212" s="829">
        <v>12</v>
      </c>
      <c r="K212" s="798"/>
      <c r="L212" s="798"/>
      <c r="M212" s="159">
        <v>15</v>
      </c>
      <c r="N212" s="798"/>
      <c r="O212" s="798"/>
    </row>
    <row r="213" spans="1:15" ht="30">
      <c r="A213" s="151" t="s">
        <v>1113</v>
      </c>
      <c r="B213" s="803" t="s">
        <v>39</v>
      </c>
      <c r="C213" s="830">
        <v>1300</v>
      </c>
      <c r="D213" s="773" t="s">
        <v>1114</v>
      </c>
      <c r="E213" s="782" t="s">
        <v>196</v>
      </c>
      <c r="F213" s="782" t="s">
        <v>196</v>
      </c>
      <c r="G213" s="800" t="s">
        <v>196</v>
      </c>
      <c r="H213" s="831">
        <v>5032</v>
      </c>
      <c r="I213" s="798" t="s">
        <v>360</v>
      </c>
      <c r="J213" s="829" t="s">
        <v>360</v>
      </c>
      <c r="K213" s="798"/>
      <c r="L213" s="798"/>
      <c r="M213" s="160">
        <v>650</v>
      </c>
      <c r="N213" s="798"/>
      <c r="O213" s="798"/>
    </row>
    <row r="214" spans="1:15" ht="30">
      <c r="A214" s="151" t="s">
        <v>1113</v>
      </c>
      <c r="B214" s="803" t="s">
        <v>39</v>
      </c>
      <c r="C214" s="830">
        <v>1300</v>
      </c>
      <c r="D214" s="773" t="s">
        <v>361</v>
      </c>
      <c r="E214" s="782" t="s">
        <v>196</v>
      </c>
      <c r="F214" s="801" t="s">
        <v>196</v>
      </c>
      <c r="G214" s="800" t="s">
        <v>196</v>
      </c>
      <c r="H214" s="831">
        <v>5032</v>
      </c>
      <c r="I214" s="798" t="s">
        <v>360</v>
      </c>
      <c r="J214" s="829" t="s">
        <v>360</v>
      </c>
      <c r="K214" s="798"/>
      <c r="L214" s="798"/>
      <c r="M214" s="160">
        <v>650</v>
      </c>
      <c r="N214" s="798"/>
      <c r="O214" s="798"/>
    </row>
    <row r="215" spans="1:15" ht="30">
      <c r="A215" s="151" t="s">
        <v>1113</v>
      </c>
      <c r="B215" s="803" t="s">
        <v>39</v>
      </c>
      <c r="C215" s="830">
        <v>38</v>
      </c>
      <c r="D215" s="832" t="s">
        <v>362</v>
      </c>
      <c r="E215" s="782" t="s">
        <v>196</v>
      </c>
      <c r="F215" s="801" t="s">
        <v>196</v>
      </c>
      <c r="G215" s="800" t="s">
        <v>196</v>
      </c>
      <c r="H215" s="831">
        <v>5032</v>
      </c>
      <c r="I215" s="798" t="s">
        <v>360</v>
      </c>
      <c r="J215" s="829" t="s">
        <v>360</v>
      </c>
      <c r="K215" s="798"/>
      <c r="L215" s="798"/>
      <c r="M215" s="160">
        <v>38</v>
      </c>
      <c r="N215" s="798"/>
      <c r="O215" s="798"/>
    </row>
    <row r="216" spans="1:15" ht="30">
      <c r="A216" s="151" t="s">
        <v>1113</v>
      </c>
      <c r="B216" s="803" t="s">
        <v>39</v>
      </c>
      <c r="C216" s="830">
        <v>120</v>
      </c>
      <c r="D216" s="832" t="s">
        <v>1115</v>
      </c>
      <c r="E216" s="782" t="s">
        <v>196</v>
      </c>
      <c r="F216" s="801" t="s">
        <v>196</v>
      </c>
      <c r="G216" s="800" t="s">
        <v>196</v>
      </c>
      <c r="H216" s="831">
        <v>5032</v>
      </c>
      <c r="I216" s="798" t="s">
        <v>360</v>
      </c>
      <c r="J216" s="829" t="s">
        <v>360</v>
      </c>
      <c r="K216" s="798"/>
      <c r="L216" s="798"/>
      <c r="M216" s="160">
        <v>120</v>
      </c>
      <c r="N216" s="798"/>
      <c r="O216" s="798"/>
    </row>
    <row r="217" spans="1:15" ht="45">
      <c r="A217" s="151" t="s">
        <v>1113</v>
      </c>
      <c r="B217" s="822" t="s">
        <v>39</v>
      </c>
      <c r="C217" s="828">
        <v>241</v>
      </c>
      <c r="D217" s="773" t="s">
        <v>363</v>
      </c>
      <c r="E217" s="782" t="s">
        <v>196</v>
      </c>
      <c r="F217" s="801" t="s">
        <v>196</v>
      </c>
      <c r="G217" s="800" t="s">
        <v>196</v>
      </c>
      <c r="H217" s="800">
        <v>7240</v>
      </c>
      <c r="I217" s="798" t="s">
        <v>358</v>
      </c>
      <c r="J217" s="829">
        <v>12</v>
      </c>
      <c r="K217" s="798"/>
      <c r="L217" s="798"/>
      <c r="M217" s="161">
        <v>120</v>
      </c>
      <c r="N217" s="798"/>
      <c r="O217" s="798"/>
    </row>
    <row r="218" spans="1:15" ht="75">
      <c r="A218" s="151" t="s">
        <v>1113</v>
      </c>
      <c r="B218" s="822" t="s">
        <v>39</v>
      </c>
      <c r="C218" s="828">
        <v>5</v>
      </c>
      <c r="D218" s="833" t="s">
        <v>364</v>
      </c>
      <c r="E218" s="782" t="s">
        <v>196</v>
      </c>
      <c r="F218" s="801" t="s">
        <v>196</v>
      </c>
      <c r="G218" s="800" t="s">
        <v>196</v>
      </c>
      <c r="H218" s="800">
        <v>5060</v>
      </c>
      <c r="I218" s="829" t="s">
        <v>365</v>
      </c>
      <c r="J218" s="829" t="s">
        <v>366</v>
      </c>
      <c r="K218" s="798"/>
      <c r="L218" s="798"/>
      <c r="M218" s="161">
        <v>5.2</v>
      </c>
      <c r="N218" s="798"/>
      <c r="O218" s="798"/>
    </row>
    <row r="219" spans="1:15" ht="45">
      <c r="A219" s="151" t="s">
        <v>1113</v>
      </c>
      <c r="B219" s="822" t="s">
        <v>39</v>
      </c>
      <c r="C219" s="828">
        <v>330</v>
      </c>
      <c r="D219" s="773" t="s">
        <v>367</v>
      </c>
      <c r="E219" s="782" t="s">
        <v>196</v>
      </c>
      <c r="F219" s="801" t="s">
        <v>196</v>
      </c>
      <c r="G219" s="800" t="s">
        <v>196</v>
      </c>
      <c r="H219" s="800">
        <v>5060</v>
      </c>
      <c r="I219" s="829" t="s">
        <v>365</v>
      </c>
      <c r="J219" s="798">
        <v>15</v>
      </c>
      <c r="K219" s="798"/>
      <c r="L219" s="798"/>
      <c r="M219" s="161">
        <v>330</v>
      </c>
      <c r="N219" s="798"/>
      <c r="O219" s="798"/>
    </row>
    <row r="220" spans="1:15" ht="30">
      <c r="A220" s="151" t="s">
        <v>1113</v>
      </c>
      <c r="B220" s="822" t="s">
        <v>39</v>
      </c>
      <c r="C220" s="828">
        <v>6</v>
      </c>
      <c r="D220" s="833" t="s">
        <v>368</v>
      </c>
      <c r="E220" s="782" t="s">
        <v>196</v>
      </c>
      <c r="F220" s="801" t="s">
        <v>196</v>
      </c>
      <c r="G220" s="800" t="s">
        <v>196</v>
      </c>
      <c r="H220" s="800">
        <v>7240</v>
      </c>
      <c r="I220" s="798" t="s">
        <v>358</v>
      </c>
      <c r="J220" s="829">
        <v>1</v>
      </c>
      <c r="K220" s="798"/>
      <c r="L220" s="798"/>
      <c r="M220" s="159">
        <v>6</v>
      </c>
      <c r="N220" s="798"/>
      <c r="O220" s="798"/>
    </row>
    <row r="221" spans="1:15" ht="30">
      <c r="A221" s="151" t="s">
        <v>1113</v>
      </c>
      <c r="B221" s="822" t="s">
        <v>369</v>
      </c>
      <c r="C221" s="828">
        <v>180</v>
      </c>
      <c r="D221" s="833" t="s">
        <v>370</v>
      </c>
      <c r="E221" s="782" t="s">
        <v>196</v>
      </c>
      <c r="F221" s="801" t="s">
        <v>196</v>
      </c>
      <c r="G221" s="800" t="s">
        <v>196</v>
      </c>
      <c r="H221" s="800">
        <v>5060</v>
      </c>
      <c r="I221" s="829" t="s">
        <v>365</v>
      </c>
      <c r="J221" s="798">
        <v>30</v>
      </c>
      <c r="K221" s="798"/>
      <c r="L221" s="798"/>
      <c r="M221" s="161">
        <v>180</v>
      </c>
      <c r="N221" s="798"/>
      <c r="O221" s="798"/>
    </row>
    <row r="222" spans="1:15" ht="75">
      <c r="A222" s="151" t="s">
        <v>1113</v>
      </c>
      <c r="B222" s="822" t="s">
        <v>39</v>
      </c>
      <c r="C222" s="828">
        <v>820</v>
      </c>
      <c r="D222" s="773" t="s">
        <v>371</v>
      </c>
      <c r="E222" s="782" t="s">
        <v>196</v>
      </c>
      <c r="F222" s="801" t="s">
        <v>196</v>
      </c>
      <c r="G222" s="800" t="s">
        <v>196</v>
      </c>
      <c r="H222" s="800">
        <v>5060</v>
      </c>
      <c r="I222" s="798" t="s">
        <v>372</v>
      </c>
      <c r="J222" s="798">
        <v>90000</v>
      </c>
      <c r="K222" s="798"/>
      <c r="L222" s="798"/>
      <c r="M222" s="161">
        <v>820</v>
      </c>
      <c r="N222" s="798"/>
      <c r="O222" s="798"/>
    </row>
    <row r="223" spans="1:15" ht="45">
      <c r="A223" s="151" t="s">
        <v>1113</v>
      </c>
      <c r="B223" s="822" t="s">
        <v>39</v>
      </c>
      <c r="C223" s="828">
        <v>55</v>
      </c>
      <c r="D223" s="773" t="s">
        <v>373</v>
      </c>
      <c r="E223" s="800" t="s">
        <v>196</v>
      </c>
      <c r="F223" s="801" t="s">
        <v>196</v>
      </c>
      <c r="G223" s="800" t="s">
        <v>196</v>
      </c>
      <c r="H223" s="800">
        <v>7240</v>
      </c>
      <c r="I223" s="798" t="s">
        <v>358</v>
      </c>
      <c r="J223" s="829">
        <v>1</v>
      </c>
      <c r="K223" s="798"/>
      <c r="L223" s="798"/>
      <c r="M223" s="161">
        <v>55</v>
      </c>
      <c r="N223" s="798"/>
      <c r="O223" s="798"/>
    </row>
    <row r="224" spans="1:15" ht="45">
      <c r="A224" s="151" t="s">
        <v>1113</v>
      </c>
      <c r="B224" s="822" t="s">
        <v>39</v>
      </c>
      <c r="C224" s="828">
        <v>60</v>
      </c>
      <c r="D224" s="773" t="s">
        <v>374</v>
      </c>
      <c r="E224" s="800" t="s">
        <v>196</v>
      </c>
      <c r="F224" s="801" t="s">
        <v>196</v>
      </c>
      <c r="G224" s="800" t="s">
        <v>196</v>
      </c>
      <c r="H224" s="800">
        <v>5060</v>
      </c>
      <c r="I224" s="829" t="s">
        <v>365</v>
      </c>
      <c r="J224" s="798">
        <v>8</v>
      </c>
      <c r="K224" s="798"/>
      <c r="L224" s="798"/>
      <c r="M224" s="161">
        <v>60</v>
      </c>
      <c r="N224" s="798"/>
      <c r="O224" s="798"/>
    </row>
    <row r="225" spans="1:16" ht="30">
      <c r="A225" s="151" t="s">
        <v>1113</v>
      </c>
      <c r="B225" s="822" t="s">
        <v>39</v>
      </c>
      <c r="C225" s="828">
        <v>1400</v>
      </c>
      <c r="D225" s="833" t="s">
        <v>1116</v>
      </c>
      <c r="E225" s="800" t="s">
        <v>196</v>
      </c>
      <c r="F225" s="801" t="s">
        <v>196</v>
      </c>
      <c r="G225" s="800" t="s">
        <v>196</v>
      </c>
      <c r="H225" s="800">
        <v>5032</v>
      </c>
      <c r="I225" s="798" t="s">
        <v>360</v>
      </c>
      <c r="J225" s="829" t="s">
        <v>360</v>
      </c>
      <c r="K225" s="798"/>
      <c r="L225" s="798"/>
      <c r="M225" s="161">
        <v>1400</v>
      </c>
      <c r="N225" s="798"/>
      <c r="O225" s="798"/>
    </row>
    <row r="226" spans="1:16" ht="30">
      <c r="A226" s="151" t="s">
        <v>1113</v>
      </c>
      <c r="B226" s="822" t="s">
        <v>39</v>
      </c>
      <c r="C226" s="828">
        <v>180</v>
      </c>
      <c r="D226" s="833" t="s">
        <v>375</v>
      </c>
      <c r="E226" s="800" t="s">
        <v>196</v>
      </c>
      <c r="F226" s="801" t="s">
        <v>196</v>
      </c>
      <c r="G226" s="800" t="s">
        <v>196</v>
      </c>
      <c r="H226" s="800">
        <v>5032</v>
      </c>
      <c r="I226" s="798" t="s">
        <v>360</v>
      </c>
      <c r="J226" s="829" t="s">
        <v>360</v>
      </c>
      <c r="K226" s="798"/>
      <c r="L226" s="798"/>
      <c r="M226" s="161">
        <v>180</v>
      </c>
      <c r="N226" s="798"/>
      <c r="O226" s="798"/>
    </row>
    <row r="227" spans="1:16" ht="45">
      <c r="A227" s="151" t="s">
        <v>1113</v>
      </c>
      <c r="B227" s="822" t="s">
        <v>39</v>
      </c>
      <c r="C227" s="828">
        <v>60</v>
      </c>
      <c r="D227" s="773" t="s">
        <v>376</v>
      </c>
      <c r="E227" s="800" t="s">
        <v>196</v>
      </c>
      <c r="F227" s="801" t="s">
        <v>196</v>
      </c>
      <c r="G227" s="800" t="s">
        <v>196</v>
      </c>
      <c r="H227" s="800">
        <v>7240</v>
      </c>
      <c r="I227" s="798" t="s">
        <v>358</v>
      </c>
      <c r="J227" s="829">
        <v>1</v>
      </c>
      <c r="K227" s="798"/>
      <c r="L227" s="798"/>
      <c r="M227" s="161">
        <v>60</v>
      </c>
      <c r="N227" s="798"/>
      <c r="O227" s="798"/>
    </row>
    <row r="228" spans="1:16" ht="45">
      <c r="A228" s="151" t="s">
        <v>1113</v>
      </c>
      <c r="B228" s="822" t="s">
        <v>39</v>
      </c>
      <c r="C228" s="828">
        <v>45</v>
      </c>
      <c r="D228" s="773" t="s">
        <v>377</v>
      </c>
      <c r="E228" s="800" t="s">
        <v>196</v>
      </c>
      <c r="F228" s="801" t="s">
        <v>196</v>
      </c>
      <c r="G228" s="800" t="s">
        <v>196</v>
      </c>
      <c r="H228" s="800">
        <v>5060</v>
      </c>
      <c r="I228" s="829" t="s">
        <v>365</v>
      </c>
      <c r="J228" s="798">
        <v>10</v>
      </c>
      <c r="K228" s="798"/>
      <c r="L228" s="798"/>
      <c r="M228" s="161">
        <v>45</v>
      </c>
      <c r="N228" s="798"/>
      <c r="O228" s="798"/>
    </row>
    <row r="229" spans="1:16" ht="45">
      <c r="A229" s="151" t="s">
        <v>1113</v>
      </c>
      <c r="B229" s="822" t="s">
        <v>39</v>
      </c>
      <c r="C229" s="828">
        <v>55</v>
      </c>
      <c r="D229" s="773" t="s">
        <v>378</v>
      </c>
      <c r="E229" s="800" t="s">
        <v>196</v>
      </c>
      <c r="F229" s="801" t="s">
        <v>196</v>
      </c>
      <c r="G229" s="800" t="s">
        <v>196</v>
      </c>
      <c r="H229" s="800">
        <v>5060</v>
      </c>
      <c r="I229" s="829" t="s">
        <v>365</v>
      </c>
      <c r="J229" s="798">
        <v>10</v>
      </c>
      <c r="K229" s="798"/>
      <c r="L229" s="798"/>
      <c r="M229" s="161">
        <v>55</v>
      </c>
      <c r="N229" s="798"/>
      <c r="O229" s="798"/>
    </row>
    <row r="230" spans="1:16" ht="45">
      <c r="A230" s="151" t="s">
        <v>1113</v>
      </c>
      <c r="B230" s="822" t="s">
        <v>39</v>
      </c>
      <c r="C230" s="828">
        <v>55</v>
      </c>
      <c r="D230" s="773" t="s">
        <v>379</v>
      </c>
      <c r="E230" s="800" t="s">
        <v>196</v>
      </c>
      <c r="F230" s="801" t="s">
        <v>196</v>
      </c>
      <c r="G230" s="800" t="s">
        <v>196</v>
      </c>
      <c r="H230" s="800">
        <v>7240</v>
      </c>
      <c r="I230" s="798" t="s">
        <v>358</v>
      </c>
      <c r="J230" s="829">
        <v>1</v>
      </c>
      <c r="K230" s="798"/>
      <c r="L230" s="798"/>
      <c r="M230" s="161">
        <v>55</v>
      </c>
      <c r="N230" s="798"/>
      <c r="O230" s="798"/>
    </row>
    <row r="231" spans="1:16" ht="75">
      <c r="A231" s="151" t="s">
        <v>1113</v>
      </c>
      <c r="B231" s="822" t="s">
        <v>39</v>
      </c>
      <c r="C231" s="828">
        <v>60</v>
      </c>
      <c r="D231" s="833" t="s">
        <v>380</v>
      </c>
      <c r="E231" s="800" t="s">
        <v>196</v>
      </c>
      <c r="F231" s="801" t="s">
        <v>196</v>
      </c>
      <c r="G231" s="800" t="s">
        <v>196</v>
      </c>
      <c r="H231" s="800">
        <v>5060</v>
      </c>
      <c r="I231" s="829" t="s">
        <v>365</v>
      </c>
      <c r="J231" s="829" t="s">
        <v>381</v>
      </c>
      <c r="K231" s="798"/>
      <c r="L231" s="798"/>
      <c r="M231" s="161">
        <v>60</v>
      </c>
      <c r="N231" s="798"/>
      <c r="O231" s="798"/>
    </row>
    <row r="232" spans="1:16" ht="60">
      <c r="A232" s="151" t="s">
        <v>1113</v>
      </c>
      <c r="B232" s="822" t="s">
        <v>39</v>
      </c>
      <c r="C232" s="828">
        <v>180</v>
      </c>
      <c r="D232" s="833" t="s">
        <v>382</v>
      </c>
      <c r="E232" s="800" t="s">
        <v>196</v>
      </c>
      <c r="F232" s="801" t="s">
        <v>196</v>
      </c>
      <c r="G232" s="800" t="s">
        <v>196</v>
      </c>
      <c r="H232" s="800">
        <v>5060</v>
      </c>
      <c r="I232" s="829" t="s">
        <v>365</v>
      </c>
      <c r="J232" s="833">
        <v>1</v>
      </c>
      <c r="K232" s="798"/>
      <c r="L232" s="798"/>
      <c r="M232" s="161">
        <v>180</v>
      </c>
      <c r="N232" s="798"/>
      <c r="O232" s="798"/>
    </row>
    <row r="233" spans="1:16" ht="30">
      <c r="A233" s="151" t="s">
        <v>1113</v>
      </c>
      <c r="B233" s="822" t="s">
        <v>39</v>
      </c>
      <c r="C233" s="828">
        <v>6</v>
      </c>
      <c r="D233" s="833" t="s">
        <v>383</v>
      </c>
      <c r="E233" s="800" t="s">
        <v>196</v>
      </c>
      <c r="F233" s="801" t="s">
        <v>196</v>
      </c>
      <c r="G233" s="800" t="s">
        <v>196</v>
      </c>
      <c r="H233" s="800">
        <v>7240</v>
      </c>
      <c r="I233" s="798" t="s">
        <v>358</v>
      </c>
      <c r="J233" s="829">
        <v>1</v>
      </c>
      <c r="K233" s="798"/>
      <c r="L233" s="798"/>
      <c r="M233" s="161">
        <v>6</v>
      </c>
      <c r="N233" s="798"/>
      <c r="O233" s="798"/>
    </row>
    <row r="234" spans="1:16" ht="45">
      <c r="A234" s="151" t="s">
        <v>1113</v>
      </c>
      <c r="B234" s="822" t="s">
        <v>39</v>
      </c>
      <c r="C234" s="828">
        <v>206</v>
      </c>
      <c r="D234" s="829" t="s">
        <v>384</v>
      </c>
      <c r="E234" s="800" t="s">
        <v>385</v>
      </c>
      <c r="F234" s="834">
        <v>40723</v>
      </c>
      <c r="G234" s="835">
        <v>41819</v>
      </c>
      <c r="H234" s="800">
        <v>7240</v>
      </c>
      <c r="I234" s="798" t="s">
        <v>358</v>
      </c>
      <c r="J234" s="829">
        <v>12</v>
      </c>
      <c r="K234" s="798"/>
      <c r="L234" s="798"/>
      <c r="M234" s="161">
        <v>86</v>
      </c>
      <c r="N234" s="798"/>
      <c r="O234" s="798"/>
    </row>
    <row r="235" spans="1:16" ht="30">
      <c r="A235" s="151" t="s">
        <v>1113</v>
      </c>
      <c r="B235" s="822" t="s">
        <v>39</v>
      </c>
      <c r="C235" s="828">
        <v>30</v>
      </c>
      <c r="D235" s="829" t="s">
        <v>386</v>
      </c>
      <c r="E235" s="800" t="s">
        <v>387</v>
      </c>
      <c r="F235" s="834">
        <v>40687</v>
      </c>
      <c r="G235" s="835">
        <v>41047</v>
      </c>
      <c r="H235" s="800">
        <v>7240</v>
      </c>
      <c r="I235" s="798" t="s">
        <v>358</v>
      </c>
      <c r="J235" s="829">
        <v>4</v>
      </c>
      <c r="K235" s="798"/>
      <c r="L235" s="798"/>
      <c r="M235" s="161">
        <v>10</v>
      </c>
      <c r="N235" s="798"/>
      <c r="O235" s="798"/>
    </row>
    <row r="236" spans="1:16" ht="45">
      <c r="A236" s="151" t="s">
        <v>1113</v>
      </c>
      <c r="B236" s="822" t="s">
        <v>39</v>
      </c>
      <c r="C236" s="828">
        <v>173</v>
      </c>
      <c r="D236" s="829" t="s">
        <v>388</v>
      </c>
      <c r="E236" s="800" t="s">
        <v>389</v>
      </c>
      <c r="F236" s="834">
        <v>40731</v>
      </c>
      <c r="G236" s="835">
        <v>41096</v>
      </c>
      <c r="H236" s="800">
        <v>7240</v>
      </c>
      <c r="I236" s="798" t="s">
        <v>358</v>
      </c>
      <c r="J236" s="829">
        <v>12</v>
      </c>
      <c r="K236" s="798"/>
      <c r="L236" s="798"/>
      <c r="M236" s="161">
        <v>21</v>
      </c>
      <c r="N236" s="798"/>
      <c r="O236" s="798"/>
    </row>
    <row r="237" spans="1:16" ht="30">
      <c r="A237" s="151" t="s">
        <v>1113</v>
      </c>
      <c r="B237" s="836" t="s">
        <v>39</v>
      </c>
      <c r="C237" s="836">
        <v>165</v>
      </c>
      <c r="D237" s="784" t="s">
        <v>390</v>
      </c>
      <c r="E237" s="837" t="s">
        <v>391</v>
      </c>
      <c r="F237" s="782" t="s">
        <v>392</v>
      </c>
      <c r="G237" s="782" t="s">
        <v>146</v>
      </c>
      <c r="H237" s="140">
        <v>2220</v>
      </c>
      <c r="I237" s="142" t="s">
        <v>393</v>
      </c>
      <c r="J237" s="142" t="s">
        <v>394</v>
      </c>
      <c r="K237" s="140">
        <v>27</v>
      </c>
      <c r="L237" s="140"/>
      <c r="M237" s="140">
        <v>138</v>
      </c>
      <c r="N237" s="140"/>
      <c r="O237" s="140"/>
    </row>
    <row r="238" spans="1:16" ht="105">
      <c r="A238" s="151" t="s">
        <v>1117</v>
      </c>
      <c r="B238" s="144" t="s">
        <v>251</v>
      </c>
      <c r="C238" s="795" t="s">
        <v>1118</v>
      </c>
      <c r="D238" s="796" t="s">
        <v>1119</v>
      </c>
      <c r="E238" s="837" t="s">
        <v>1120</v>
      </c>
      <c r="F238" s="838">
        <v>40969</v>
      </c>
      <c r="G238" s="838">
        <v>41699</v>
      </c>
      <c r="H238" s="140" t="s">
        <v>1121</v>
      </c>
      <c r="I238" s="140" t="s">
        <v>1122</v>
      </c>
      <c r="J238" s="839">
        <v>1005360000</v>
      </c>
      <c r="K238" s="140">
        <v>0</v>
      </c>
      <c r="L238" s="140"/>
      <c r="M238" s="839">
        <v>105360000</v>
      </c>
      <c r="N238" s="140">
        <v>0</v>
      </c>
      <c r="O238" s="140"/>
    </row>
    <row r="239" spans="1:16" ht="120">
      <c r="A239" s="151" t="s">
        <v>1117</v>
      </c>
      <c r="B239" s="144" t="s">
        <v>251</v>
      </c>
      <c r="C239" s="795" t="s">
        <v>1118</v>
      </c>
      <c r="D239" s="796" t="s">
        <v>1123</v>
      </c>
      <c r="E239" s="837" t="s">
        <v>1124</v>
      </c>
      <c r="F239" s="838" t="s">
        <v>1125</v>
      </c>
      <c r="G239" s="838" t="s">
        <v>1126</v>
      </c>
      <c r="H239" s="140" t="s">
        <v>1127</v>
      </c>
      <c r="I239" s="140" t="s">
        <v>1128</v>
      </c>
      <c r="J239" s="144">
        <v>6743000000</v>
      </c>
      <c r="K239" s="140"/>
      <c r="L239" s="140"/>
      <c r="M239" s="144">
        <v>6743000000</v>
      </c>
      <c r="N239" s="140">
        <v>0</v>
      </c>
      <c r="O239" s="140"/>
    </row>
    <row r="240" spans="1:16" ht="330">
      <c r="A240" s="144" t="s">
        <v>1117</v>
      </c>
      <c r="B240" s="144" t="s">
        <v>251</v>
      </c>
      <c r="C240" s="795" t="s">
        <v>1118</v>
      </c>
      <c r="D240" s="784" t="s">
        <v>657</v>
      </c>
      <c r="E240" s="838" t="s">
        <v>594</v>
      </c>
      <c r="F240" s="838" t="s">
        <v>1129</v>
      </c>
      <c r="G240" s="838" t="s">
        <v>1130</v>
      </c>
      <c r="H240" s="140">
        <v>9055</v>
      </c>
      <c r="I240" s="140" t="s">
        <v>1131</v>
      </c>
      <c r="J240" s="144"/>
      <c r="K240" s="840">
        <v>5134214736.2600031</v>
      </c>
      <c r="L240" s="140"/>
      <c r="M240" s="144"/>
      <c r="N240" s="140"/>
      <c r="O240" s="140"/>
      <c r="P240" s="841" t="s">
        <v>1132</v>
      </c>
    </row>
    <row r="241" spans="1:16" ht="409.5">
      <c r="A241" s="144" t="s">
        <v>1117</v>
      </c>
      <c r="B241" s="144" t="s">
        <v>251</v>
      </c>
      <c r="C241" s="795" t="s">
        <v>1118</v>
      </c>
      <c r="D241" s="784" t="s">
        <v>1133</v>
      </c>
      <c r="E241" s="838" t="s">
        <v>1134</v>
      </c>
      <c r="F241" s="838" t="s">
        <v>1135</v>
      </c>
      <c r="G241" s="838" t="s">
        <v>1136</v>
      </c>
      <c r="H241" s="140">
        <v>9055</v>
      </c>
      <c r="I241" s="140" t="s">
        <v>1131</v>
      </c>
      <c r="J241" s="144"/>
      <c r="K241" s="140"/>
      <c r="L241" s="140"/>
      <c r="M241" s="144"/>
      <c r="N241" s="140"/>
      <c r="O241" s="140"/>
      <c r="P241" s="841" t="s">
        <v>1137</v>
      </c>
    </row>
    <row r="242" spans="1:16" ht="330">
      <c r="A242" s="144" t="s">
        <v>1117</v>
      </c>
      <c r="B242" s="144" t="s">
        <v>251</v>
      </c>
      <c r="C242" s="795" t="s">
        <v>1118</v>
      </c>
      <c r="D242" s="784" t="s">
        <v>1138</v>
      </c>
      <c r="E242" s="838" t="s">
        <v>1139</v>
      </c>
      <c r="F242" s="838" t="s">
        <v>1140</v>
      </c>
      <c r="G242" s="838" t="s">
        <v>1141</v>
      </c>
      <c r="H242" s="140">
        <v>9055</v>
      </c>
      <c r="I242" s="140" t="s">
        <v>1131</v>
      </c>
      <c r="J242" s="144"/>
      <c r="K242" s="140"/>
      <c r="L242" s="140"/>
      <c r="M242" s="144"/>
      <c r="N242" s="140"/>
      <c r="O242" s="140"/>
      <c r="P242" s="841" t="s">
        <v>1142</v>
      </c>
    </row>
    <row r="243" spans="1:16" ht="45">
      <c r="A243" s="144" t="s">
        <v>254</v>
      </c>
      <c r="B243" s="144" t="s">
        <v>254</v>
      </c>
      <c r="C243" s="795">
        <v>50000000</v>
      </c>
      <c r="D243" s="784" t="s">
        <v>1143</v>
      </c>
      <c r="E243" s="838" t="s">
        <v>1144</v>
      </c>
      <c r="F243" s="838">
        <v>41153</v>
      </c>
      <c r="G243" s="838">
        <v>42248</v>
      </c>
      <c r="H243" s="140">
        <v>2930</v>
      </c>
      <c r="I243" s="140" t="s">
        <v>1145</v>
      </c>
      <c r="J243" s="839">
        <v>50000000</v>
      </c>
      <c r="K243" s="839"/>
      <c r="L243" s="839"/>
      <c r="M243" s="839">
        <v>50000000</v>
      </c>
      <c r="N243" s="140">
        <v>0</v>
      </c>
      <c r="O243" s="140"/>
    </row>
    <row r="244" spans="1:16" ht="45">
      <c r="A244" s="144" t="s">
        <v>254</v>
      </c>
      <c r="B244" s="144" t="s">
        <v>254</v>
      </c>
      <c r="C244" s="795">
        <v>25000000</v>
      </c>
      <c r="D244" s="784" t="s">
        <v>1146</v>
      </c>
      <c r="E244" s="838" t="s">
        <v>1147</v>
      </c>
      <c r="F244" s="838" t="s">
        <v>1148</v>
      </c>
      <c r="G244" s="838" t="s">
        <v>1149</v>
      </c>
      <c r="H244" s="140">
        <v>2930</v>
      </c>
      <c r="I244" s="140" t="s">
        <v>1145</v>
      </c>
      <c r="J244" s="839">
        <v>24000000</v>
      </c>
      <c r="K244" s="839"/>
      <c r="L244" s="839"/>
      <c r="M244" s="839">
        <v>2400000</v>
      </c>
      <c r="N244" s="140">
        <v>0</v>
      </c>
      <c r="O244" s="140"/>
    </row>
    <row r="245" spans="1:16" ht="45">
      <c r="A245" s="144" t="s">
        <v>254</v>
      </c>
      <c r="B245" s="144" t="s">
        <v>254</v>
      </c>
      <c r="C245" s="795">
        <v>50000000</v>
      </c>
      <c r="D245" s="784" t="s">
        <v>1150</v>
      </c>
      <c r="E245" s="838" t="s">
        <v>1151</v>
      </c>
      <c r="F245" s="838">
        <v>40940</v>
      </c>
      <c r="G245" s="838">
        <v>41306</v>
      </c>
      <c r="H245" s="140">
        <v>2930</v>
      </c>
      <c r="I245" s="140" t="s">
        <v>1145</v>
      </c>
      <c r="J245" s="839">
        <v>50000000</v>
      </c>
      <c r="K245" s="839"/>
      <c r="L245" s="839"/>
      <c r="M245" s="839">
        <v>50000000</v>
      </c>
      <c r="N245" s="140">
        <v>0</v>
      </c>
      <c r="O245" s="140"/>
    </row>
    <row r="246" spans="1:16" ht="60">
      <c r="A246" s="144" t="s">
        <v>254</v>
      </c>
      <c r="B246" s="144" t="s">
        <v>254</v>
      </c>
      <c r="C246" s="795">
        <v>1000000000</v>
      </c>
      <c r="D246" s="784" t="s">
        <v>1152</v>
      </c>
      <c r="E246" s="838" t="s">
        <v>1153</v>
      </c>
      <c r="F246" s="838">
        <v>41030</v>
      </c>
      <c r="G246" s="838">
        <v>42125</v>
      </c>
      <c r="H246" s="140">
        <v>2930</v>
      </c>
      <c r="I246" s="140" t="s">
        <v>1145</v>
      </c>
      <c r="J246" s="839">
        <v>300000000</v>
      </c>
      <c r="K246" s="839"/>
      <c r="L246" s="839"/>
      <c r="M246" s="839">
        <v>300000000</v>
      </c>
      <c r="N246" s="140">
        <v>0</v>
      </c>
      <c r="O246" s="140"/>
    </row>
    <row r="247" spans="1:16" ht="90">
      <c r="A247" s="144" t="s">
        <v>254</v>
      </c>
      <c r="B247" s="144" t="s">
        <v>254</v>
      </c>
      <c r="C247" s="795">
        <v>140000000</v>
      </c>
      <c r="D247" s="784" t="s">
        <v>1154</v>
      </c>
      <c r="E247" s="838" t="s">
        <v>1155</v>
      </c>
      <c r="F247" s="838" t="s">
        <v>1156</v>
      </c>
      <c r="G247" s="838" t="s">
        <v>1157</v>
      </c>
      <c r="H247" s="140">
        <v>2930</v>
      </c>
      <c r="I247" s="140" t="s">
        <v>1145</v>
      </c>
      <c r="J247" s="839">
        <v>40000000</v>
      </c>
      <c r="K247" s="839"/>
      <c r="L247" s="839"/>
      <c r="M247" s="839">
        <v>40000000</v>
      </c>
      <c r="N247" s="140">
        <v>0</v>
      </c>
      <c r="O247" s="140"/>
    </row>
    <row r="248" spans="1:16" ht="45">
      <c r="A248" s="144" t="s">
        <v>254</v>
      </c>
      <c r="B248" s="144" t="s">
        <v>254</v>
      </c>
      <c r="C248" s="795">
        <v>6000000</v>
      </c>
      <c r="D248" s="784" t="s">
        <v>1158</v>
      </c>
      <c r="E248" s="838" t="s">
        <v>1159</v>
      </c>
      <c r="F248" s="838">
        <v>41183</v>
      </c>
      <c r="G248" s="838">
        <v>41548</v>
      </c>
      <c r="H248" s="140">
        <v>2930</v>
      </c>
      <c r="I248" s="140" t="s">
        <v>1145</v>
      </c>
      <c r="J248" s="839">
        <v>6000000</v>
      </c>
      <c r="K248" s="839"/>
      <c r="L248" s="839"/>
      <c r="M248" s="839">
        <v>6000000</v>
      </c>
      <c r="N248" s="140">
        <v>0</v>
      </c>
      <c r="O248" s="140"/>
    </row>
    <row r="249" spans="1:16" ht="45">
      <c r="A249" s="144" t="s">
        <v>254</v>
      </c>
      <c r="B249" s="144" t="s">
        <v>254</v>
      </c>
      <c r="C249" s="795">
        <v>12000000</v>
      </c>
      <c r="D249" s="784" t="s">
        <v>1160</v>
      </c>
      <c r="E249" s="838" t="s">
        <v>1159</v>
      </c>
      <c r="F249" s="838">
        <v>41153</v>
      </c>
      <c r="G249" s="838">
        <v>41518</v>
      </c>
      <c r="H249" s="140">
        <v>2930</v>
      </c>
      <c r="I249" s="140" t="s">
        <v>1145</v>
      </c>
      <c r="J249" s="839">
        <v>12000000</v>
      </c>
      <c r="K249" s="839"/>
      <c r="L249" s="839"/>
      <c r="M249" s="839">
        <v>12000000</v>
      </c>
      <c r="N249" s="140">
        <v>0</v>
      </c>
      <c r="O249" s="140"/>
    </row>
    <row r="250" spans="1:16" ht="75">
      <c r="A250" s="144" t="s">
        <v>254</v>
      </c>
      <c r="B250" s="144" t="s">
        <v>254</v>
      </c>
      <c r="C250" s="795">
        <v>140000000</v>
      </c>
      <c r="D250" s="784" t="s">
        <v>1161</v>
      </c>
      <c r="E250" s="838" t="s">
        <v>1162</v>
      </c>
      <c r="F250" s="838" t="s">
        <v>1163</v>
      </c>
      <c r="G250" s="838" t="s">
        <v>1164</v>
      </c>
      <c r="H250" s="140">
        <v>2930</v>
      </c>
      <c r="I250" s="140" t="s">
        <v>1145</v>
      </c>
      <c r="J250" s="839">
        <v>50000000</v>
      </c>
      <c r="K250" s="839"/>
      <c r="L250" s="839"/>
      <c r="M250" s="839">
        <v>50000000</v>
      </c>
      <c r="N250" s="140">
        <v>0</v>
      </c>
      <c r="O250" s="140"/>
    </row>
    <row r="251" spans="1:16" ht="45">
      <c r="A251" s="144" t="s">
        <v>254</v>
      </c>
      <c r="B251" s="144" t="s">
        <v>254</v>
      </c>
      <c r="C251" s="795">
        <v>100000000</v>
      </c>
      <c r="D251" s="784" t="s">
        <v>1165</v>
      </c>
      <c r="E251" s="838" t="s">
        <v>1159</v>
      </c>
      <c r="F251" s="838">
        <v>40940</v>
      </c>
      <c r="G251" s="838">
        <v>41306</v>
      </c>
      <c r="H251" s="140">
        <v>2930</v>
      </c>
      <c r="I251" s="140" t="s">
        <v>1145</v>
      </c>
      <c r="J251" s="839">
        <v>100000000</v>
      </c>
      <c r="K251" s="839"/>
      <c r="L251" s="839"/>
      <c r="M251" s="839">
        <v>100000000</v>
      </c>
      <c r="N251" s="140">
        <v>0</v>
      </c>
      <c r="O251" s="140"/>
    </row>
    <row r="252" spans="1:16" ht="45">
      <c r="A252" s="144" t="s">
        <v>254</v>
      </c>
      <c r="B252" s="144" t="s">
        <v>254</v>
      </c>
      <c r="C252" s="795">
        <v>300000000</v>
      </c>
      <c r="D252" s="784" t="s">
        <v>1166</v>
      </c>
      <c r="E252" s="838" t="s">
        <v>1167</v>
      </c>
      <c r="F252" s="838" t="s">
        <v>1168</v>
      </c>
      <c r="G252" s="838" t="s">
        <v>1169</v>
      </c>
      <c r="H252" s="140">
        <v>2930</v>
      </c>
      <c r="I252" s="140" t="s">
        <v>1145</v>
      </c>
      <c r="J252" s="839">
        <v>30000000</v>
      </c>
      <c r="K252" s="140"/>
      <c r="L252" s="140"/>
      <c r="M252" s="839">
        <v>30000000</v>
      </c>
      <c r="N252" s="140"/>
      <c r="O252" s="140"/>
    </row>
    <row r="253" spans="1:16" ht="150">
      <c r="A253" s="144" t="s">
        <v>254</v>
      </c>
      <c r="B253" s="144" t="s">
        <v>254</v>
      </c>
      <c r="C253" s="795">
        <v>300000000</v>
      </c>
      <c r="D253" s="784" t="s">
        <v>1170</v>
      </c>
      <c r="E253" s="838" t="s">
        <v>1171</v>
      </c>
      <c r="F253" s="838">
        <v>40969</v>
      </c>
      <c r="G253" s="838">
        <v>41334</v>
      </c>
      <c r="H253" s="140">
        <v>2930</v>
      </c>
      <c r="I253" s="140" t="s">
        <v>1145</v>
      </c>
      <c r="J253" s="839">
        <v>300000000</v>
      </c>
      <c r="K253" s="140"/>
      <c r="L253" s="140"/>
      <c r="M253" s="839">
        <v>300000000</v>
      </c>
      <c r="N253" s="140"/>
      <c r="O253" s="140"/>
    </row>
    <row r="254" spans="1:16" ht="30">
      <c r="A254" s="842" t="s">
        <v>1172</v>
      </c>
      <c r="B254" s="843" t="s">
        <v>14</v>
      </c>
      <c r="C254" s="844">
        <v>100000000</v>
      </c>
      <c r="D254" s="784" t="s">
        <v>1173</v>
      </c>
      <c r="E254" s="838" t="s">
        <v>196</v>
      </c>
      <c r="F254" s="838" t="s">
        <v>196</v>
      </c>
      <c r="G254" s="838" t="s">
        <v>196</v>
      </c>
      <c r="H254" s="779">
        <v>2001</v>
      </c>
      <c r="I254" s="790" t="s">
        <v>280</v>
      </c>
      <c r="J254" s="845" t="s">
        <v>1174</v>
      </c>
      <c r="K254" s="790"/>
      <c r="L254" s="790"/>
      <c r="M254" s="843">
        <v>100</v>
      </c>
      <c r="N254" s="790"/>
      <c r="O254" s="790"/>
    </row>
    <row r="255" spans="1:16" ht="30">
      <c r="A255" s="842" t="s">
        <v>1172</v>
      </c>
      <c r="B255" s="790" t="s">
        <v>14</v>
      </c>
      <c r="C255" s="778">
        <v>100000000</v>
      </c>
      <c r="D255" s="784" t="s">
        <v>1175</v>
      </c>
      <c r="E255" s="838" t="s">
        <v>196</v>
      </c>
      <c r="F255" s="838" t="s">
        <v>196</v>
      </c>
      <c r="G255" s="838" t="s">
        <v>196</v>
      </c>
      <c r="H255" s="779">
        <v>2001</v>
      </c>
      <c r="I255" s="790" t="s">
        <v>254</v>
      </c>
      <c r="J255" s="846" t="s">
        <v>1174</v>
      </c>
      <c r="K255" s="790"/>
      <c r="L255" s="790"/>
      <c r="M255" s="843">
        <v>100</v>
      </c>
      <c r="N255" s="790"/>
      <c r="O255" s="790"/>
    </row>
    <row r="256" spans="1:16" ht="60">
      <c r="A256" s="842" t="s">
        <v>1172</v>
      </c>
      <c r="B256" s="790" t="s">
        <v>14</v>
      </c>
      <c r="C256" s="778">
        <v>3000000000</v>
      </c>
      <c r="D256" s="784" t="s">
        <v>1176</v>
      </c>
      <c r="E256" s="838" t="s">
        <v>196</v>
      </c>
      <c r="F256" s="838" t="s">
        <v>196</v>
      </c>
      <c r="G256" s="838" t="s">
        <v>196</v>
      </c>
      <c r="H256" s="779">
        <v>2001</v>
      </c>
      <c r="I256" s="790" t="s">
        <v>280</v>
      </c>
      <c r="J256" s="846" t="s">
        <v>1177</v>
      </c>
      <c r="K256" s="790"/>
      <c r="L256" s="790"/>
      <c r="M256" s="843">
        <v>1000</v>
      </c>
      <c r="N256" s="790"/>
      <c r="O256" s="790"/>
    </row>
    <row r="257" spans="1:16" ht="45">
      <c r="A257" s="847" t="s">
        <v>1178</v>
      </c>
      <c r="B257" s="790" t="s">
        <v>14</v>
      </c>
      <c r="C257" s="778">
        <v>1240968000</v>
      </c>
      <c r="D257" s="784" t="s">
        <v>1179</v>
      </c>
      <c r="E257" s="838" t="s">
        <v>196</v>
      </c>
      <c r="F257" s="838" t="s">
        <v>196</v>
      </c>
      <c r="G257" s="838" t="s">
        <v>196</v>
      </c>
      <c r="H257" s="779">
        <v>2001</v>
      </c>
      <c r="I257" s="790" t="s">
        <v>280</v>
      </c>
      <c r="J257" s="846" t="s">
        <v>1180</v>
      </c>
      <c r="K257" s="790"/>
      <c r="L257" s="790"/>
      <c r="M257" s="843">
        <v>1241</v>
      </c>
      <c r="N257" s="790"/>
      <c r="O257" s="790"/>
    </row>
    <row r="258" spans="1:16" ht="60">
      <c r="A258" s="842" t="s">
        <v>1178</v>
      </c>
      <c r="B258" s="790" t="s">
        <v>14</v>
      </c>
      <c r="C258" s="778">
        <v>250000000</v>
      </c>
      <c r="D258" s="784" t="s">
        <v>1181</v>
      </c>
      <c r="E258" s="838" t="s">
        <v>196</v>
      </c>
      <c r="F258" s="838" t="s">
        <v>196</v>
      </c>
      <c r="G258" s="838" t="s">
        <v>196</v>
      </c>
      <c r="H258" s="779">
        <v>2001</v>
      </c>
      <c r="I258" s="790" t="s">
        <v>280</v>
      </c>
      <c r="J258" s="845" t="s">
        <v>1182</v>
      </c>
      <c r="K258" s="790"/>
      <c r="L258" s="790"/>
      <c r="M258" s="843">
        <v>250</v>
      </c>
      <c r="N258" s="790"/>
      <c r="O258" s="790"/>
    </row>
    <row r="259" spans="1:16" ht="90">
      <c r="A259" s="847" t="s">
        <v>1172</v>
      </c>
      <c r="B259" s="790" t="s">
        <v>14</v>
      </c>
      <c r="C259" s="778">
        <v>100000000</v>
      </c>
      <c r="D259" s="784" t="s">
        <v>1183</v>
      </c>
      <c r="E259" s="838" t="s">
        <v>196</v>
      </c>
      <c r="F259" s="838" t="s">
        <v>196</v>
      </c>
      <c r="G259" s="838" t="s">
        <v>196</v>
      </c>
      <c r="H259" s="779">
        <v>2001</v>
      </c>
      <c r="I259" s="843" t="s">
        <v>280</v>
      </c>
      <c r="J259" s="845" t="s">
        <v>394</v>
      </c>
      <c r="K259" s="790"/>
      <c r="L259" s="790"/>
      <c r="M259" s="843">
        <v>100</v>
      </c>
      <c r="N259" s="790"/>
      <c r="O259" s="790"/>
    </row>
    <row r="260" spans="1:16" ht="30">
      <c r="A260" s="842" t="s">
        <v>1184</v>
      </c>
      <c r="B260" s="790" t="s">
        <v>14</v>
      </c>
      <c r="C260" s="778">
        <v>2284000000</v>
      </c>
      <c r="D260" s="848" t="s">
        <v>1185</v>
      </c>
      <c r="E260" s="838" t="s">
        <v>1186</v>
      </c>
      <c r="F260" s="838">
        <v>40592</v>
      </c>
      <c r="G260" s="838">
        <v>41323</v>
      </c>
      <c r="H260" s="779">
        <v>2001</v>
      </c>
      <c r="I260" s="790" t="s">
        <v>280</v>
      </c>
      <c r="J260" s="846" t="s">
        <v>1187</v>
      </c>
      <c r="K260" s="790"/>
      <c r="L260" s="790"/>
      <c r="M260" s="843">
        <v>500</v>
      </c>
      <c r="N260" s="790"/>
      <c r="O260" s="790"/>
    </row>
    <row r="261" spans="1:16" ht="24">
      <c r="A261" s="847" t="s">
        <v>1172</v>
      </c>
      <c r="B261" s="790" t="s">
        <v>14</v>
      </c>
      <c r="C261" s="778">
        <v>100000000</v>
      </c>
      <c r="D261" s="848" t="s">
        <v>1188</v>
      </c>
      <c r="E261" s="838" t="s">
        <v>1189</v>
      </c>
      <c r="F261" s="838">
        <v>40730</v>
      </c>
      <c r="G261" s="838">
        <v>41460</v>
      </c>
      <c r="H261" s="779">
        <v>2001</v>
      </c>
      <c r="I261" s="790" t="s">
        <v>280</v>
      </c>
      <c r="J261" s="846" t="s">
        <v>1190</v>
      </c>
      <c r="K261" s="790"/>
      <c r="L261" s="790"/>
      <c r="M261" s="843">
        <v>61</v>
      </c>
      <c r="N261" s="790"/>
      <c r="O261" s="790"/>
    </row>
    <row r="262" spans="1:16" ht="36">
      <c r="A262" s="847" t="s">
        <v>1172</v>
      </c>
      <c r="B262" s="790" t="s">
        <v>14</v>
      </c>
      <c r="C262" s="778">
        <v>131000000</v>
      </c>
      <c r="D262" s="848" t="s">
        <v>1191</v>
      </c>
      <c r="E262" s="838" t="s">
        <v>1192</v>
      </c>
      <c r="F262" s="838">
        <v>40735</v>
      </c>
      <c r="G262" s="838">
        <v>40888</v>
      </c>
      <c r="H262" s="779">
        <v>2001</v>
      </c>
      <c r="I262" s="790" t="s">
        <v>280</v>
      </c>
      <c r="J262" s="846" t="s">
        <v>1174</v>
      </c>
      <c r="K262" s="790"/>
      <c r="L262" s="790"/>
      <c r="M262" s="843">
        <v>53</v>
      </c>
      <c r="N262" s="790"/>
      <c r="O262" s="790"/>
    </row>
    <row r="263" spans="1:16" ht="24">
      <c r="A263" s="842" t="s">
        <v>1172</v>
      </c>
      <c r="B263" s="790" t="s">
        <v>14</v>
      </c>
      <c r="C263" s="778">
        <v>2597065490</v>
      </c>
      <c r="D263" s="848" t="s">
        <v>1193</v>
      </c>
      <c r="E263" s="838" t="s">
        <v>1194</v>
      </c>
      <c r="F263" s="838">
        <v>40870</v>
      </c>
      <c r="G263" s="838">
        <v>41478</v>
      </c>
      <c r="H263" s="779">
        <v>2001</v>
      </c>
      <c r="I263" s="790" t="s">
        <v>280</v>
      </c>
      <c r="J263" s="845" t="s">
        <v>1195</v>
      </c>
      <c r="K263" s="790"/>
      <c r="L263" s="790"/>
      <c r="M263" s="843">
        <v>1617</v>
      </c>
      <c r="N263" s="790"/>
      <c r="O263" s="790"/>
    </row>
    <row r="264" spans="1:16" ht="24">
      <c r="A264" s="842" t="s">
        <v>1172</v>
      </c>
      <c r="B264" s="790" t="s">
        <v>14</v>
      </c>
      <c r="C264" s="844">
        <v>2000000000</v>
      </c>
      <c r="D264" s="848" t="s">
        <v>1196</v>
      </c>
      <c r="E264" s="838" t="s">
        <v>1197</v>
      </c>
      <c r="F264" s="838" t="s">
        <v>196</v>
      </c>
      <c r="G264" s="838" t="s">
        <v>196</v>
      </c>
      <c r="H264" s="779">
        <v>2001</v>
      </c>
      <c r="I264" s="790" t="s">
        <v>280</v>
      </c>
      <c r="J264" s="846" t="s">
        <v>1180</v>
      </c>
      <c r="K264" s="790"/>
      <c r="L264" s="790"/>
      <c r="M264" s="843">
        <v>1825</v>
      </c>
      <c r="N264" s="790"/>
      <c r="O264" s="790"/>
    </row>
    <row r="265" spans="1:16" ht="24">
      <c r="A265" s="842" t="s">
        <v>1172</v>
      </c>
      <c r="B265" s="790" t="s">
        <v>14</v>
      </c>
      <c r="C265" s="778">
        <v>1000000000</v>
      </c>
      <c r="D265" s="848" t="s">
        <v>1198</v>
      </c>
      <c r="E265" s="838" t="s">
        <v>1199</v>
      </c>
      <c r="F265" s="838" t="s">
        <v>196</v>
      </c>
      <c r="G265" s="838" t="s">
        <v>196</v>
      </c>
      <c r="H265" s="779">
        <v>2001</v>
      </c>
      <c r="I265" s="790" t="s">
        <v>280</v>
      </c>
      <c r="J265" s="846" t="s">
        <v>1190</v>
      </c>
      <c r="K265" s="790"/>
      <c r="L265" s="790"/>
      <c r="M265" s="843">
        <v>1000</v>
      </c>
      <c r="N265" s="790"/>
      <c r="O265" s="790"/>
    </row>
    <row r="266" spans="1:16" ht="24">
      <c r="A266" s="847" t="s">
        <v>1178</v>
      </c>
      <c r="B266" s="790" t="s">
        <v>14</v>
      </c>
      <c r="C266" s="778">
        <v>151685388</v>
      </c>
      <c r="D266" s="848" t="s">
        <v>1200</v>
      </c>
      <c r="E266" s="838" t="s">
        <v>1201</v>
      </c>
      <c r="F266" s="838">
        <v>40952</v>
      </c>
      <c r="G266" s="838">
        <v>41042</v>
      </c>
      <c r="H266" s="779">
        <v>2001</v>
      </c>
      <c r="I266" s="790" t="s">
        <v>280</v>
      </c>
      <c r="J266" s="846" t="s">
        <v>1190</v>
      </c>
      <c r="K266" s="790"/>
      <c r="L266" s="790"/>
      <c r="M266" s="843">
        <v>51</v>
      </c>
      <c r="N266" s="790"/>
      <c r="O266" s="790"/>
    </row>
    <row r="267" spans="1:16" ht="30">
      <c r="A267" s="842" t="s">
        <v>1178</v>
      </c>
      <c r="B267" s="790" t="s">
        <v>14</v>
      </c>
      <c r="C267" s="778">
        <v>100000000</v>
      </c>
      <c r="D267" s="848" t="s">
        <v>1202</v>
      </c>
      <c r="E267" s="838" t="s">
        <v>1203</v>
      </c>
      <c r="F267" s="838">
        <v>40875</v>
      </c>
      <c r="G267" s="838">
        <v>41056</v>
      </c>
      <c r="H267" s="779">
        <v>2001</v>
      </c>
      <c r="I267" s="790" t="s">
        <v>280</v>
      </c>
      <c r="J267" s="845" t="s">
        <v>1204</v>
      </c>
      <c r="K267" s="790"/>
      <c r="L267" s="790"/>
      <c r="M267" s="843">
        <v>100</v>
      </c>
      <c r="N267" s="790"/>
      <c r="O267" s="790"/>
    </row>
    <row r="268" spans="1:16" ht="45">
      <c r="A268" s="144" t="s">
        <v>1172</v>
      </c>
      <c r="B268" s="798" t="s">
        <v>14</v>
      </c>
      <c r="C268" s="849">
        <v>68428</v>
      </c>
      <c r="D268" s="784" t="s">
        <v>1205</v>
      </c>
      <c r="E268" s="838" t="s">
        <v>196</v>
      </c>
      <c r="F268" s="838" t="s">
        <v>196</v>
      </c>
      <c r="G268" s="838" t="s">
        <v>196</v>
      </c>
      <c r="H268" s="800">
        <v>2100</v>
      </c>
      <c r="I268" s="795" t="s">
        <v>280</v>
      </c>
      <c r="J268" s="795" t="s">
        <v>1174</v>
      </c>
      <c r="K268" s="790"/>
      <c r="L268" s="790"/>
      <c r="M268" s="850">
        <v>68428</v>
      </c>
      <c r="N268" s="790"/>
      <c r="O268" s="790"/>
    </row>
    <row r="269" spans="1:16" ht="90">
      <c r="A269" s="140" t="s">
        <v>395</v>
      </c>
      <c r="B269" s="140" t="s">
        <v>160</v>
      </c>
      <c r="C269" s="851">
        <v>38</v>
      </c>
      <c r="D269" s="784" t="s">
        <v>396</v>
      </c>
      <c r="E269" s="838" t="s">
        <v>397</v>
      </c>
      <c r="F269" s="838" t="s">
        <v>196</v>
      </c>
      <c r="G269" s="838" t="s">
        <v>196</v>
      </c>
      <c r="H269" s="140">
        <v>2210</v>
      </c>
      <c r="I269" s="142" t="s">
        <v>312</v>
      </c>
      <c r="J269" s="142" t="s">
        <v>398</v>
      </c>
      <c r="K269" s="140"/>
      <c r="L269" s="140"/>
      <c r="M269" s="140">
        <v>5.7</v>
      </c>
      <c r="N269" s="140"/>
      <c r="O269" s="140"/>
    </row>
    <row r="270" spans="1:16" ht="90">
      <c r="A270" s="140" t="s">
        <v>395</v>
      </c>
      <c r="B270" s="140" t="s">
        <v>160</v>
      </c>
      <c r="C270" s="852"/>
      <c r="D270" s="784" t="s">
        <v>396</v>
      </c>
      <c r="E270" s="838" t="s">
        <v>399</v>
      </c>
      <c r="F270" s="838" t="s">
        <v>196</v>
      </c>
      <c r="G270" s="838" t="s">
        <v>196</v>
      </c>
      <c r="H270" s="140">
        <v>2210</v>
      </c>
      <c r="I270" s="142" t="s">
        <v>312</v>
      </c>
      <c r="J270" s="142" t="s">
        <v>398</v>
      </c>
      <c r="K270" s="140"/>
      <c r="L270" s="140"/>
      <c r="M270" s="140">
        <v>3.8</v>
      </c>
      <c r="N270" s="140"/>
      <c r="O270" s="140"/>
    </row>
    <row r="271" spans="1:16" ht="90">
      <c r="A271" s="140" t="s">
        <v>395</v>
      </c>
      <c r="B271" s="140" t="s">
        <v>160</v>
      </c>
      <c r="C271" s="853"/>
      <c r="D271" s="784" t="s">
        <v>396</v>
      </c>
      <c r="E271" s="838" t="s">
        <v>400</v>
      </c>
      <c r="F271" s="838" t="s">
        <v>196</v>
      </c>
      <c r="G271" s="838" t="s">
        <v>196</v>
      </c>
      <c r="H271" s="140">
        <v>2210</v>
      </c>
      <c r="I271" s="142" t="s">
        <v>401</v>
      </c>
      <c r="J271" s="142" t="s">
        <v>398</v>
      </c>
      <c r="K271" s="140"/>
      <c r="L271" s="140"/>
      <c r="M271" s="140">
        <v>28.5</v>
      </c>
      <c r="N271" s="140"/>
      <c r="O271" s="140"/>
    </row>
    <row r="272" spans="1:16" ht="75">
      <c r="A272" s="163" t="s">
        <v>431</v>
      </c>
      <c r="B272" s="854" t="s">
        <v>432</v>
      </c>
      <c r="C272" s="164">
        <v>2898</v>
      </c>
      <c r="D272" s="784" t="s">
        <v>433</v>
      </c>
      <c r="E272" s="838">
        <v>29990832845</v>
      </c>
      <c r="F272" s="838">
        <v>39847</v>
      </c>
      <c r="G272" s="838">
        <v>41700</v>
      </c>
      <c r="H272" s="854">
        <v>2860</v>
      </c>
      <c r="I272" s="854" t="s">
        <v>434</v>
      </c>
      <c r="J272" s="854">
        <v>2</v>
      </c>
      <c r="L272" s="854"/>
      <c r="M272" s="854">
        <v>268</v>
      </c>
      <c r="O272" s="854"/>
      <c r="P272" s="165"/>
    </row>
    <row r="273" spans="1:15" ht="90">
      <c r="A273" s="163" t="s">
        <v>435</v>
      </c>
      <c r="B273" s="854" t="s">
        <v>436</v>
      </c>
      <c r="C273" s="164">
        <v>358</v>
      </c>
      <c r="D273" s="784" t="s">
        <v>437</v>
      </c>
      <c r="E273" s="838" t="s">
        <v>438</v>
      </c>
      <c r="F273" s="838">
        <v>40193</v>
      </c>
      <c r="G273" s="838">
        <v>40983</v>
      </c>
      <c r="H273" s="854">
        <v>2860</v>
      </c>
      <c r="I273" s="854" t="s">
        <v>434</v>
      </c>
      <c r="J273" s="854">
        <v>1</v>
      </c>
      <c r="K273" s="854"/>
      <c r="L273" s="165"/>
      <c r="M273" s="854">
        <v>100</v>
      </c>
      <c r="N273" s="854"/>
      <c r="O273" s="165"/>
    </row>
    <row r="274" spans="1:15" ht="75">
      <c r="A274" s="163" t="s">
        <v>439</v>
      </c>
      <c r="B274" s="854" t="s">
        <v>436</v>
      </c>
      <c r="C274" s="164">
        <v>297</v>
      </c>
      <c r="D274" s="784" t="s">
        <v>440</v>
      </c>
      <c r="E274" s="838" t="s">
        <v>441</v>
      </c>
      <c r="F274" s="838">
        <v>40665</v>
      </c>
      <c r="G274" s="838">
        <v>41031</v>
      </c>
      <c r="H274" s="854">
        <v>2860</v>
      </c>
      <c r="I274" s="854" t="s">
        <v>434</v>
      </c>
      <c r="J274" s="854">
        <v>2</v>
      </c>
      <c r="K274" s="854"/>
      <c r="L274" s="165"/>
      <c r="M274" s="854">
        <v>148</v>
      </c>
      <c r="N274" s="854"/>
      <c r="O274" s="165"/>
    </row>
    <row r="275" spans="1:15" ht="75">
      <c r="A275" s="163" t="s">
        <v>442</v>
      </c>
      <c r="B275" s="854" t="s">
        <v>436</v>
      </c>
      <c r="C275" s="164">
        <v>348</v>
      </c>
      <c r="D275" s="784" t="s">
        <v>443</v>
      </c>
      <c r="E275" s="838" t="s">
        <v>444</v>
      </c>
      <c r="F275" s="838">
        <v>40283</v>
      </c>
      <c r="G275" s="838">
        <v>41014</v>
      </c>
      <c r="H275" s="854">
        <v>2860</v>
      </c>
      <c r="I275" s="854" t="s">
        <v>434</v>
      </c>
      <c r="J275" s="854">
        <v>2</v>
      </c>
      <c r="K275" s="854"/>
      <c r="L275" s="165"/>
      <c r="M275" s="854">
        <v>122</v>
      </c>
      <c r="N275" s="854"/>
      <c r="O275" s="165"/>
    </row>
    <row r="276" spans="1:15" ht="60">
      <c r="A276" s="163" t="s">
        <v>445</v>
      </c>
      <c r="B276" s="854" t="s">
        <v>436</v>
      </c>
      <c r="C276" s="164">
        <v>80</v>
      </c>
      <c r="D276" s="784" t="s">
        <v>446</v>
      </c>
      <c r="E276" s="838" t="s">
        <v>447</v>
      </c>
      <c r="F276" s="838">
        <v>40779</v>
      </c>
      <c r="G276" s="838">
        <v>40963</v>
      </c>
      <c r="H276" s="854" t="s">
        <v>448</v>
      </c>
      <c r="I276" s="854" t="s">
        <v>434</v>
      </c>
      <c r="J276" s="854">
        <v>5</v>
      </c>
      <c r="K276" s="854"/>
      <c r="L276" s="165"/>
      <c r="M276" s="854">
        <v>80</v>
      </c>
      <c r="N276" s="854"/>
      <c r="O276" s="165"/>
    </row>
    <row r="277" spans="1:15" ht="135">
      <c r="A277" s="163" t="s">
        <v>449</v>
      </c>
      <c r="B277" s="854" t="s">
        <v>436</v>
      </c>
      <c r="C277" s="164">
        <v>47</v>
      </c>
      <c r="D277" s="784" t="s">
        <v>450</v>
      </c>
      <c r="E277" s="838" t="s">
        <v>451</v>
      </c>
      <c r="F277" s="838">
        <v>40590</v>
      </c>
      <c r="G277" s="838">
        <v>40998</v>
      </c>
      <c r="H277" s="854" t="s">
        <v>448</v>
      </c>
      <c r="I277" s="854" t="s">
        <v>434</v>
      </c>
      <c r="J277" s="854">
        <v>2</v>
      </c>
      <c r="K277" s="854"/>
      <c r="L277" s="165"/>
      <c r="M277" s="854">
        <v>29</v>
      </c>
      <c r="N277" s="854"/>
      <c r="O277" s="165"/>
    </row>
    <row r="278" spans="1:15" ht="45">
      <c r="A278" s="163" t="s">
        <v>452</v>
      </c>
      <c r="B278" s="854" t="s">
        <v>436</v>
      </c>
      <c r="C278" s="164">
        <v>1799</v>
      </c>
      <c r="D278" s="784" t="s">
        <v>453</v>
      </c>
      <c r="E278" s="838" t="s">
        <v>454</v>
      </c>
      <c r="F278" s="838">
        <v>40198</v>
      </c>
      <c r="G278" s="838">
        <v>41294</v>
      </c>
      <c r="H278" s="854">
        <v>2860</v>
      </c>
      <c r="I278" s="854" t="s">
        <v>434</v>
      </c>
      <c r="J278" s="854">
        <v>2</v>
      </c>
      <c r="K278" s="854"/>
      <c r="L278" s="165"/>
      <c r="M278" s="854">
        <v>318</v>
      </c>
      <c r="N278" s="854"/>
      <c r="O278" s="165"/>
    </row>
    <row r="279" spans="1:15" ht="90">
      <c r="A279" s="163" t="s">
        <v>455</v>
      </c>
      <c r="B279" s="854" t="s">
        <v>436</v>
      </c>
      <c r="C279" s="164">
        <v>392</v>
      </c>
      <c r="D279" s="784" t="s">
        <v>456</v>
      </c>
      <c r="E279" s="838" t="s">
        <v>454</v>
      </c>
      <c r="F279" s="838">
        <v>40225</v>
      </c>
      <c r="G279" s="838">
        <v>41137</v>
      </c>
      <c r="H279" s="854">
        <v>2860</v>
      </c>
      <c r="I279" s="854" t="s">
        <v>434</v>
      </c>
      <c r="J279" s="854">
        <v>1</v>
      </c>
      <c r="K279" s="854"/>
      <c r="L279" s="165"/>
      <c r="M279" s="854">
        <v>56</v>
      </c>
      <c r="N279" s="854"/>
      <c r="O279" s="165"/>
    </row>
    <row r="280" spans="1:15" ht="105">
      <c r="A280" s="163" t="s">
        <v>457</v>
      </c>
      <c r="B280" s="854" t="s">
        <v>436</v>
      </c>
      <c r="C280" s="164">
        <v>1501</v>
      </c>
      <c r="D280" s="784" t="s">
        <v>458</v>
      </c>
      <c r="E280" s="838" t="s">
        <v>459</v>
      </c>
      <c r="F280" s="838">
        <v>39947</v>
      </c>
      <c r="G280" s="838">
        <v>41043</v>
      </c>
      <c r="H280" s="854">
        <v>2860</v>
      </c>
      <c r="I280" s="854" t="s">
        <v>434</v>
      </c>
      <c r="J280" s="854">
        <v>1</v>
      </c>
      <c r="K280" s="854"/>
      <c r="L280" s="165"/>
      <c r="M280" s="854">
        <v>35</v>
      </c>
      <c r="N280" s="854"/>
      <c r="O280" s="165"/>
    </row>
    <row r="281" spans="1:15" ht="75">
      <c r="A281" s="163" t="s">
        <v>460</v>
      </c>
      <c r="B281" s="854" t="s">
        <v>436</v>
      </c>
      <c r="C281" s="164">
        <v>1584</v>
      </c>
      <c r="D281" s="784" t="s">
        <v>461</v>
      </c>
      <c r="E281" s="838" t="s">
        <v>462</v>
      </c>
      <c r="F281" s="838">
        <v>40518</v>
      </c>
      <c r="G281" s="838">
        <v>41614</v>
      </c>
      <c r="H281" s="854">
        <v>2860</v>
      </c>
      <c r="I281" s="854" t="s">
        <v>434</v>
      </c>
      <c r="J281" s="854">
        <v>1</v>
      </c>
      <c r="K281" s="854"/>
      <c r="L281" s="165"/>
      <c r="M281" s="854">
        <v>308</v>
      </c>
      <c r="N281" s="854"/>
      <c r="O281" s="165"/>
    </row>
    <row r="282" spans="1:15" ht="75">
      <c r="A282" s="163" t="s">
        <v>463</v>
      </c>
      <c r="B282" s="854" t="s">
        <v>436</v>
      </c>
      <c r="C282" s="164">
        <v>1131</v>
      </c>
      <c r="D282" s="784" t="s">
        <v>464</v>
      </c>
      <c r="E282" s="838" t="s">
        <v>454</v>
      </c>
      <c r="F282" s="838">
        <v>40197</v>
      </c>
      <c r="G282" s="838">
        <v>41293</v>
      </c>
      <c r="H282" s="854" t="s">
        <v>448</v>
      </c>
      <c r="I282" s="854" t="s">
        <v>434</v>
      </c>
      <c r="J282" s="854">
        <v>1</v>
      </c>
      <c r="K282" s="854"/>
      <c r="L282" s="165"/>
      <c r="M282" s="854">
        <v>56</v>
      </c>
      <c r="N282" s="854"/>
      <c r="O282" s="165"/>
    </row>
    <row r="283" spans="1:15" ht="120">
      <c r="A283" s="163" t="s">
        <v>465</v>
      </c>
      <c r="B283" s="854" t="s">
        <v>436</v>
      </c>
      <c r="C283" s="164">
        <v>200</v>
      </c>
      <c r="D283" s="784" t="s">
        <v>466</v>
      </c>
      <c r="E283" s="801">
        <v>29990835522</v>
      </c>
      <c r="F283" s="838">
        <v>40049</v>
      </c>
      <c r="G283" s="838">
        <v>41145</v>
      </c>
      <c r="H283" s="854">
        <v>2860</v>
      </c>
      <c r="I283" s="854" t="s">
        <v>434</v>
      </c>
      <c r="J283" s="854">
        <v>1</v>
      </c>
      <c r="K283" s="854"/>
      <c r="L283" s="165"/>
      <c r="M283" s="854">
        <v>140</v>
      </c>
      <c r="N283" s="854"/>
      <c r="O283" s="165"/>
    </row>
    <row r="284" spans="1:15" ht="150">
      <c r="A284" s="163" t="s">
        <v>467</v>
      </c>
      <c r="B284" s="854" t="s">
        <v>432</v>
      </c>
      <c r="C284" s="164">
        <v>2000</v>
      </c>
      <c r="D284" s="784" t="s">
        <v>468</v>
      </c>
      <c r="E284" s="838" t="s">
        <v>469</v>
      </c>
      <c r="F284" s="838">
        <v>40204</v>
      </c>
      <c r="G284" s="838">
        <v>41300</v>
      </c>
      <c r="H284" s="854" t="s">
        <v>448</v>
      </c>
      <c r="I284" s="854" t="s">
        <v>434</v>
      </c>
      <c r="J284" s="854">
        <v>8</v>
      </c>
      <c r="K284" s="854">
        <v>1</v>
      </c>
      <c r="L284" s="165"/>
      <c r="M284" s="854">
        <v>700</v>
      </c>
      <c r="N284" s="854"/>
      <c r="O284" s="165"/>
    </row>
    <row r="285" spans="1:15" ht="75">
      <c r="A285" s="163" t="s">
        <v>470</v>
      </c>
      <c r="B285" s="854" t="s">
        <v>436</v>
      </c>
      <c r="C285" s="164">
        <v>730</v>
      </c>
      <c r="D285" s="784" t="s">
        <v>471</v>
      </c>
      <c r="E285" s="838" t="s">
        <v>472</v>
      </c>
      <c r="F285" s="838">
        <v>40183</v>
      </c>
      <c r="G285" s="838">
        <v>42009</v>
      </c>
      <c r="H285" s="854">
        <v>2860</v>
      </c>
      <c r="I285" s="854" t="s">
        <v>473</v>
      </c>
      <c r="J285" s="854">
        <v>5000</v>
      </c>
      <c r="K285" s="854"/>
      <c r="L285" s="165"/>
      <c r="M285" s="854">
        <v>0</v>
      </c>
      <c r="N285" s="854"/>
      <c r="O285" s="165"/>
    </row>
    <row r="286" spans="1:15" ht="90">
      <c r="A286" s="166" t="s">
        <v>474</v>
      </c>
      <c r="B286" s="855" t="s">
        <v>436</v>
      </c>
      <c r="C286" s="164">
        <f>85*1.9</f>
        <v>161.5</v>
      </c>
      <c r="D286" s="784" t="s">
        <v>475</v>
      </c>
      <c r="E286" s="838" t="s">
        <v>476</v>
      </c>
      <c r="F286" s="838">
        <v>40759</v>
      </c>
      <c r="G286" s="838">
        <v>41003</v>
      </c>
      <c r="H286" s="854" t="s">
        <v>448</v>
      </c>
      <c r="I286" s="854" t="s">
        <v>220</v>
      </c>
      <c r="J286" s="854">
        <v>6</v>
      </c>
      <c r="K286" s="790"/>
      <c r="L286" s="790"/>
      <c r="M286" s="854">
        <f>45*1.9</f>
        <v>85.5</v>
      </c>
      <c r="N286" s="790"/>
      <c r="O286" s="790"/>
    </row>
    <row r="287" spans="1:15" ht="120">
      <c r="A287" s="163" t="s">
        <v>477</v>
      </c>
      <c r="B287" s="854" t="s">
        <v>436</v>
      </c>
      <c r="C287" s="164">
        <v>739</v>
      </c>
      <c r="D287" s="784" t="s">
        <v>478</v>
      </c>
      <c r="E287" s="838" t="s">
        <v>454</v>
      </c>
      <c r="F287" s="838">
        <v>40745</v>
      </c>
      <c r="G287" s="838">
        <v>41841</v>
      </c>
      <c r="H287" s="854" t="s">
        <v>448</v>
      </c>
      <c r="I287" s="854" t="s">
        <v>434</v>
      </c>
      <c r="J287" s="854">
        <v>1</v>
      </c>
      <c r="K287" s="854"/>
      <c r="L287" s="165"/>
      <c r="M287" s="854">
        <v>220</v>
      </c>
      <c r="N287" s="854"/>
      <c r="O287" s="165"/>
    </row>
    <row r="288" spans="1:15" ht="105">
      <c r="A288" s="163" t="s">
        <v>479</v>
      </c>
      <c r="B288" s="854" t="s">
        <v>432</v>
      </c>
      <c r="C288" s="164">
        <v>200</v>
      </c>
      <c r="D288" s="784" t="s">
        <v>480</v>
      </c>
      <c r="E288" s="838" t="s">
        <v>41</v>
      </c>
      <c r="F288" s="838" t="s">
        <v>41</v>
      </c>
      <c r="G288" s="838" t="s">
        <v>41</v>
      </c>
      <c r="H288" s="854" t="s">
        <v>448</v>
      </c>
      <c r="I288" s="854" t="s">
        <v>434</v>
      </c>
      <c r="J288" s="854">
        <v>1</v>
      </c>
      <c r="K288" s="854"/>
      <c r="L288" s="165"/>
      <c r="M288" s="854">
        <v>200</v>
      </c>
      <c r="N288" s="854"/>
      <c r="O288" s="165"/>
    </row>
    <row r="289" spans="1:15" ht="105">
      <c r="A289" s="167" t="s">
        <v>481</v>
      </c>
      <c r="B289" s="854" t="s">
        <v>432</v>
      </c>
      <c r="C289" s="168">
        <v>100</v>
      </c>
      <c r="D289" s="784" t="s">
        <v>482</v>
      </c>
      <c r="E289" s="838" t="s">
        <v>41</v>
      </c>
      <c r="F289" s="838" t="s">
        <v>41</v>
      </c>
      <c r="G289" s="838" t="s">
        <v>41</v>
      </c>
      <c r="H289" s="854">
        <v>2860</v>
      </c>
      <c r="I289" s="854" t="s">
        <v>434</v>
      </c>
      <c r="J289" s="856" t="s">
        <v>196</v>
      </c>
      <c r="K289" s="790"/>
      <c r="L289" s="790"/>
      <c r="M289" s="854">
        <v>100</v>
      </c>
      <c r="N289" s="790"/>
      <c r="O289" s="790"/>
    </row>
    <row r="290" spans="1:15" ht="120">
      <c r="A290" s="169" t="s">
        <v>483</v>
      </c>
      <c r="B290" s="854" t="s">
        <v>432</v>
      </c>
      <c r="C290" s="164">
        <v>1600</v>
      </c>
      <c r="D290" s="784" t="s">
        <v>484</v>
      </c>
      <c r="E290" s="838" t="s">
        <v>41</v>
      </c>
      <c r="F290" s="838" t="s">
        <v>41</v>
      </c>
      <c r="G290" s="838" t="s">
        <v>41</v>
      </c>
      <c r="H290" s="854">
        <v>2860</v>
      </c>
      <c r="I290" s="854" t="s">
        <v>220</v>
      </c>
      <c r="J290" s="856" t="s">
        <v>196</v>
      </c>
      <c r="K290" s="854"/>
      <c r="L290" s="165"/>
      <c r="M290" s="854">
        <v>1600</v>
      </c>
      <c r="N290" s="854"/>
      <c r="O290" s="165"/>
    </row>
    <row r="291" spans="1:15" ht="75">
      <c r="A291" s="169" t="s">
        <v>485</v>
      </c>
      <c r="B291" s="854" t="s">
        <v>432</v>
      </c>
      <c r="C291" s="164">
        <v>253</v>
      </c>
      <c r="D291" s="784" t="s">
        <v>486</v>
      </c>
      <c r="E291" s="838" t="s">
        <v>487</v>
      </c>
      <c r="F291" s="838" t="s">
        <v>41</v>
      </c>
      <c r="G291" s="838" t="s">
        <v>41</v>
      </c>
      <c r="H291" s="854">
        <v>2860</v>
      </c>
      <c r="I291" s="854" t="s">
        <v>434</v>
      </c>
      <c r="J291" s="854">
        <v>3</v>
      </c>
      <c r="K291" s="854"/>
      <c r="L291" s="165"/>
      <c r="M291" s="854">
        <v>152</v>
      </c>
      <c r="N291" s="854"/>
      <c r="O291" s="165"/>
    </row>
    <row r="292" spans="1:15" ht="30">
      <c r="A292" s="169" t="s">
        <v>488</v>
      </c>
      <c r="B292" s="854" t="s">
        <v>432</v>
      </c>
      <c r="C292" s="164">
        <v>500</v>
      </c>
      <c r="D292" s="784" t="s">
        <v>489</v>
      </c>
      <c r="E292" s="838" t="s">
        <v>41</v>
      </c>
      <c r="F292" s="838" t="s">
        <v>41</v>
      </c>
      <c r="G292" s="838" t="s">
        <v>41</v>
      </c>
      <c r="H292" s="854" t="s">
        <v>448</v>
      </c>
      <c r="I292" s="854" t="s">
        <v>434</v>
      </c>
      <c r="J292" s="856" t="s">
        <v>196</v>
      </c>
      <c r="K292" s="854"/>
      <c r="L292" s="165"/>
      <c r="M292" s="854">
        <v>500</v>
      </c>
      <c r="N292" s="854"/>
      <c r="O292" s="165"/>
    </row>
    <row r="293" spans="1:15" ht="60">
      <c r="A293" s="169" t="s">
        <v>490</v>
      </c>
      <c r="B293" s="854" t="s">
        <v>432</v>
      </c>
      <c r="C293" s="164">
        <v>500</v>
      </c>
      <c r="D293" s="784" t="s">
        <v>491</v>
      </c>
      <c r="E293" s="838" t="s">
        <v>492</v>
      </c>
      <c r="F293" s="838" t="s">
        <v>41</v>
      </c>
      <c r="G293" s="838" t="s">
        <v>41</v>
      </c>
      <c r="H293" s="854">
        <v>2860</v>
      </c>
      <c r="I293" s="854" t="s">
        <v>434</v>
      </c>
      <c r="J293" s="856" t="s">
        <v>196</v>
      </c>
      <c r="K293" s="854"/>
      <c r="L293" s="165"/>
      <c r="M293" s="854">
        <v>500</v>
      </c>
      <c r="N293" s="854"/>
      <c r="O293" s="165"/>
    </row>
    <row r="294" spans="1:15" ht="60">
      <c r="A294" s="169" t="s">
        <v>493</v>
      </c>
      <c r="B294" s="854" t="s">
        <v>432</v>
      </c>
      <c r="C294" s="164">
        <v>200</v>
      </c>
      <c r="D294" s="784" t="s">
        <v>494</v>
      </c>
      <c r="E294" s="838" t="s">
        <v>41</v>
      </c>
      <c r="F294" s="838" t="s">
        <v>41</v>
      </c>
      <c r="G294" s="838" t="s">
        <v>41</v>
      </c>
      <c r="H294" s="854">
        <v>2860</v>
      </c>
      <c r="I294" s="854" t="s">
        <v>434</v>
      </c>
      <c r="J294" s="856" t="s">
        <v>196</v>
      </c>
      <c r="K294" s="854"/>
      <c r="L294" s="165"/>
      <c r="M294" s="854">
        <v>200</v>
      </c>
      <c r="N294" s="854"/>
      <c r="O294" s="165"/>
    </row>
    <row r="295" spans="1:15" ht="60">
      <c r="A295" s="169" t="s">
        <v>495</v>
      </c>
      <c r="B295" s="854" t="s">
        <v>432</v>
      </c>
      <c r="C295" s="164">
        <v>50</v>
      </c>
      <c r="D295" s="784" t="s">
        <v>496</v>
      </c>
      <c r="E295" s="838" t="s">
        <v>41</v>
      </c>
      <c r="F295" s="838" t="s">
        <v>41</v>
      </c>
      <c r="G295" s="838" t="s">
        <v>41</v>
      </c>
      <c r="H295" s="854">
        <v>2860</v>
      </c>
      <c r="I295" s="854" t="s">
        <v>434</v>
      </c>
      <c r="J295" s="856">
        <v>50</v>
      </c>
      <c r="K295" s="854"/>
      <c r="L295" s="165"/>
      <c r="M295" s="854">
        <v>50</v>
      </c>
      <c r="N295" s="854"/>
      <c r="O295" s="165"/>
    </row>
    <row r="296" spans="1:15" ht="63.75">
      <c r="A296" s="169" t="s">
        <v>497</v>
      </c>
      <c r="B296" s="854" t="s">
        <v>432</v>
      </c>
      <c r="C296" s="164">
        <v>502</v>
      </c>
      <c r="D296" s="784" t="s">
        <v>498</v>
      </c>
      <c r="E296" s="838" t="s">
        <v>41</v>
      </c>
      <c r="F296" s="838" t="s">
        <v>41</v>
      </c>
      <c r="G296" s="838" t="s">
        <v>41</v>
      </c>
      <c r="H296" s="854" t="s">
        <v>448</v>
      </c>
      <c r="I296" s="854" t="s">
        <v>434</v>
      </c>
      <c r="J296" s="856" t="s">
        <v>196</v>
      </c>
      <c r="K296" s="854"/>
      <c r="L296" s="165"/>
      <c r="M296" s="854">
        <v>401</v>
      </c>
      <c r="N296" s="854"/>
      <c r="O296" s="165"/>
    </row>
    <row r="297" spans="1:15" ht="75">
      <c r="A297" s="169" t="s">
        <v>499</v>
      </c>
      <c r="B297" s="854" t="s">
        <v>432</v>
      </c>
      <c r="C297" s="164">
        <v>325</v>
      </c>
      <c r="D297" s="784" t="s">
        <v>500</v>
      </c>
      <c r="E297" s="838" t="s">
        <v>454</v>
      </c>
      <c r="F297" s="838" t="s">
        <v>41</v>
      </c>
      <c r="G297" s="838" t="s">
        <v>41</v>
      </c>
      <c r="H297" s="854" t="s">
        <v>448</v>
      </c>
      <c r="I297" s="854" t="s">
        <v>434</v>
      </c>
      <c r="J297" s="856" t="s">
        <v>196</v>
      </c>
      <c r="K297" s="854"/>
      <c r="L297" s="165"/>
      <c r="M297" s="854">
        <v>325</v>
      </c>
      <c r="N297" s="854"/>
      <c r="O297" s="165"/>
    </row>
    <row r="298" spans="1:15" ht="45">
      <c r="A298" s="167" t="s">
        <v>501</v>
      </c>
      <c r="B298" s="854" t="s">
        <v>432</v>
      </c>
      <c r="C298" s="164">
        <v>500</v>
      </c>
      <c r="D298" s="784" t="s">
        <v>502</v>
      </c>
      <c r="E298" s="838" t="s">
        <v>503</v>
      </c>
      <c r="F298" s="838" t="s">
        <v>41</v>
      </c>
      <c r="G298" s="838" t="s">
        <v>41</v>
      </c>
      <c r="H298" s="854" t="s">
        <v>448</v>
      </c>
      <c r="I298" s="854" t="s">
        <v>434</v>
      </c>
      <c r="J298" s="856" t="s">
        <v>196</v>
      </c>
      <c r="K298" s="790"/>
      <c r="L298" s="790"/>
      <c r="M298" s="854">
        <v>500</v>
      </c>
      <c r="N298" s="790"/>
      <c r="O298" s="790"/>
    </row>
    <row r="299" spans="1:15" ht="360">
      <c r="A299" s="167" t="s">
        <v>504</v>
      </c>
      <c r="B299" s="855" t="s">
        <v>436</v>
      </c>
      <c r="C299" s="164">
        <v>1600</v>
      </c>
      <c r="D299" s="784" t="s">
        <v>505</v>
      </c>
      <c r="E299" s="838" t="s">
        <v>506</v>
      </c>
      <c r="F299" s="838">
        <v>40723</v>
      </c>
      <c r="G299" s="838">
        <v>41089</v>
      </c>
      <c r="H299" s="854" t="s">
        <v>448</v>
      </c>
      <c r="I299" s="856" t="s">
        <v>507</v>
      </c>
      <c r="J299" s="856" t="s">
        <v>508</v>
      </c>
      <c r="K299" s="790"/>
      <c r="L299" s="790"/>
      <c r="M299" s="854">
        <v>1200</v>
      </c>
      <c r="N299" s="790"/>
      <c r="O299" s="790"/>
    </row>
    <row r="300" spans="1:15" ht="75">
      <c r="A300" s="167" t="s">
        <v>509</v>
      </c>
      <c r="B300" s="855" t="s">
        <v>436</v>
      </c>
      <c r="C300" s="164">
        <v>200</v>
      </c>
      <c r="D300" s="784" t="s">
        <v>510</v>
      </c>
      <c r="E300" s="838" t="s">
        <v>41</v>
      </c>
      <c r="F300" s="838" t="s">
        <v>41</v>
      </c>
      <c r="G300" s="838" t="s">
        <v>41</v>
      </c>
      <c r="H300" s="854" t="s">
        <v>448</v>
      </c>
      <c r="I300" s="856" t="s">
        <v>511</v>
      </c>
      <c r="J300" s="856">
        <v>5</v>
      </c>
      <c r="K300" s="790"/>
      <c r="L300" s="790"/>
      <c r="M300" s="854">
        <v>200</v>
      </c>
      <c r="N300" s="790"/>
      <c r="O300" s="790"/>
    </row>
    <row r="326" spans="1:16" s="857" customFormat="1">
      <c r="A326" s="747"/>
      <c r="B326" s="747"/>
      <c r="C326" s="749"/>
      <c r="D326" s="747"/>
      <c r="E326" s="749"/>
      <c r="F326" s="750"/>
      <c r="G326" s="751"/>
      <c r="H326" s="749"/>
      <c r="I326" s="747"/>
      <c r="J326" s="747"/>
      <c r="K326" s="747"/>
      <c r="L326" s="747"/>
      <c r="M326" s="747"/>
      <c r="N326" s="747"/>
      <c r="O326" s="747"/>
      <c r="P326" s="747"/>
    </row>
  </sheetData>
  <mergeCells count="50">
    <mergeCell ref="C269:C271"/>
    <mergeCell ref="A152:A154"/>
    <mergeCell ref="B152:B154"/>
    <mergeCell ref="D152:D154"/>
    <mergeCell ref="F152:F154"/>
    <mergeCell ref="G152:G154"/>
    <mergeCell ref="H152:H154"/>
    <mergeCell ref="I152:I154"/>
    <mergeCell ref="A155:A158"/>
    <mergeCell ref="B155:B158"/>
    <mergeCell ref="D155:D158"/>
    <mergeCell ref="F155:F158"/>
    <mergeCell ref="G155:G158"/>
    <mergeCell ref="H155:H158"/>
    <mergeCell ref="I155:I158"/>
    <mergeCell ref="L144:L146"/>
    <mergeCell ref="M144:M146"/>
    <mergeCell ref="N144:N146"/>
    <mergeCell ref="O144:O146"/>
    <mergeCell ref="A147:A150"/>
    <mergeCell ref="B147:B150"/>
    <mergeCell ref="C147:C148"/>
    <mergeCell ref="D147:D150"/>
    <mergeCell ref="H147:H150"/>
    <mergeCell ref="I147:I150"/>
    <mergeCell ref="A144:A146"/>
    <mergeCell ref="B144:B146"/>
    <mergeCell ref="D144:D146"/>
    <mergeCell ref="F144:F146"/>
    <mergeCell ref="G144:G146"/>
    <mergeCell ref="H144:H146"/>
    <mergeCell ref="I144:I146"/>
    <mergeCell ref="J144:J146"/>
    <mergeCell ref="K144:K146"/>
    <mergeCell ref="A1:O1"/>
    <mergeCell ref="A2:O2"/>
    <mergeCell ref="A4:A5"/>
    <mergeCell ref="B4:B5"/>
    <mergeCell ref="C4:C5"/>
    <mergeCell ref="F4:G4"/>
    <mergeCell ref="H4:H5"/>
    <mergeCell ref="I4:I5"/>
    <mergeCell ref="J4:L4"/>
    <mergeCell ref="M4:O4"/>
    <mergeCell ref="D130:D131"/>
    <mergeCell ref="M130:M131"/>
    <mergeCell ref="D132:D133"/>
    <mergeCell ref="M132:M133"/>
    <mergeCell ref="D134:D135"/>
    <mergeCell ref="M134:M135"/>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11</vt:i4>
      </vt:variant>
      <vt:variant>
        <vt:lpstr>Rangos con nombre</vt:lpstr>
      </vt:variant>
      <vt:variant>
        <vt:i4>2</vt:i4>
      </vt:variant>
    </vt:vector>
  </HeadingPairs>
  <TitlesOfParts>
    <vt:vector baseType="lpstr" size="13">
      <vt:lpstr>DSI </vt:lpstr>
      <vt:lpstr>DC Int</vt:lpstr>
      <vt:lpstr>DFI </vt:lpstr>
      <vt:lpstr>GHyO</vt:lpstr>
      <vt:lpstr>S Gral</vt:lpstr>
      <vt:lpstr>COM</vt:lpstr>
      <vt:lpstr>DPI</vt:lpstr>
      <vt:lpstr> DRE</vt:lpstr>
      <vt:lpstr>DENER</vt:lpstr>
      <vt:lpstr>DCI</vt:lpstr>
      <vt:lpstr>DA</vt:lpstr>
      <vt:lpstr>'S Gral'!Área_de_impresión</vt:lpstr>
      <vt:lpstr>'S Gral'!Títulos_a_imprimir</vt:lpstr>
    </vt:vector>
  </TitlesOfParts>
  <Company/>
  <LinksUpToDate>false</LinksUpToDate>
  <SharedDoc>false</SharedDoc>
  <HyperlinksChanged>false</HyperlinksChanged>
  <AppVersion>12.0000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2011-01-21T15:33:42Z</dcterms:created>
  <dc:creator>EPM</dc:creator>
  <cp:lastPrinted>2011-02-09T23:04:42Z</cp:lastPrinted>
  <dcterms:modified xsi:type="dcterms:W3CDTF">2012-01-30T22:34:41Z</dcterms:modified>
  <cp:revision>0</cp:revision>
</cp:coreProperties>
</file>

<file path=docProps/custom.xml><?xml version="1.0" encoding="utf-8"?>
<Properties xmlns="http://schemas.openxmlformats.org/officeDocument/2006/custom-properties" xmlns:vt="http://schemas.openxmlformats.org/officeDocument/2006/docPropsVTypes">
  <property pid="2" fmtid="{D5CDD505-2E9C-101B-9397-08002B2CF9AE}" name="my_tag_name">
    <vt:lpwstr>MetaClean sync </vt:lpwstr>
  </property>
</Properties>
</file>