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bitacora.epm.com.co/areas/rcm/oc/pv/Proceso de Ventas/ACUEDUCTO Y SANEAMIENTO/3 y 4. Revi Diseño conceptual y Definitivo/Dis UVDUA/Modelos/HOJAS DE CÁLCULO/"/>
    </mc:Choice>
  </mc:AlternateContent>
  <xr:revisionPtr revIDLastSave="0" documentId="8_{7208FD27-47B9-40B0-B53C-44D7EB190308}" xr6:coauthVersionLast="47" xr6:coauthVersionMax="47" xr10:uidLastSave="{00000000-0000-0000-0000-000000000000}"/>
  <bookViews>
    <workbookView xWindow="2250" yWindow="2250" windowWidth="28800" windowHeight="15435" xr2:uid="{00000000-000D-0000-FFFF-FFFF00000000}"/>
  </bookViews>
  <sheets>
    <sheet name="Sistema con bombeo" sheetId="1" r:id="rId1"/>
    <sheet name="Presión directa de la red" sheetId="6" r:id="rId2"/>
    <sheet name="Mixto" sheetId="7" r:id="rId3"/>
  </sheets>
  <definedNames>
    <definedName name="_xlnm.Print_Area" localSheetId="2">Mixto!$A$1:$D$74</definedName>
    <definedName name="_xlnm.Print_Area" localSheetId="1">'Presión directa de la red'!$A$1:$D$66</definedName>
    <definedName name="_xlnm.Print_Area" localSheetId="0">'Sistema con bombeo'!$A$1:$C$42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6" i="6" l="1"/>
  <c r="O27" i="6"/>
  <c r="O28" i="6"/>
  <c r="O29" i="6"/>
  <c r="O30" i="6"/>
  <c r="O25" i="6"/>
  <c r="B16" i="1" l="1"/>
  <c r="N15" i="6"/>
  <c r="O15" i="6" s="1"/>
  <c r="O16" i="6"/>
  <c r="O3" i="6"/>
  <c r="O4" i="6"/>
  <c r="O5" i="6"/>
  <c r="N5" i="6"/>
  <c r="O6" i="6"/>
  <c r="N6" i="6"/>
  <c r="O17" i="6" l="1"/>
  <c r="O18" i="6"/>
  <c r="O19" i="6"/>
  <c r="O20" i="6"/>
  <c r="O8" i="6"/>
  <c r="O7" i="6"/>
  <c r="O9" i="6"/>
  <c r="H3" i="1" l="1"/>
  <c r="I3" i="1"/>
  <c r="K3" i="1" s="1"/>
  <c r="L5" i="1"/>
  <c r="L4" i="1"/>
  <c r="M20" i="7" l="1"/>
  <c r="K20" i="7"/>
  <c r="I20" i="7"/>
  <c r="J20" i="7" s="1"/>
  <c r="L20" i="7" s="1"/>
  <c r="M19" i="7"/>
  <c r="K19" i="7"/>
  <c r="I19" i="7"/>
  <c r="J19" i="7" s="1"/>
  <c r="L19" i="7" s="1"/>
  <c r="M18" i="7"/>
  <c r="K18" i="7"/>
  <c r="I18" i="7"/>
  <c r="J18" i="7" s="1"/>
  <c r="L18" i="7" s="1"/>
  <c r="M17" i="7"/>
  <c r="K17" i="7"/>
  <c r="I17" i="7"/>
  <c r="J17" i="7" s="1"/>
  <c r="L17" i="7" s="1"/>
  <c r="N17" i="7" s="1"/>
  <c r="M16" i="7"/>
  <c r="K16" i="7"/>
  <c r="I16" i="7"/>
  <c r="J16" i="7" s="1"/>
  <c r="L16" i="7" s="1"/>
  <c r="M15" i="7"/>
  <c r="K15" i="7"/>
  <c r="I15" i="7"/>
  <c r="J15" i="7" s="1"/>
  <c r="L15" i="7" s="1"/>
  <c r="M10" i="7"/>
  <c r="K10" i="7"/>
  <c r="I10" i="7"/>
  <c r="J10" i="7" s="1"/>
  <c r="L10" i="7" s="1"/>
  <c r="N10" i="7" s="1"/>
  <c r="M9" i="7"/>
  <c r="K9" i="7"/>
  <c r="I9" i="7"/>
  <c r="J9" i="7" s="1"/>
  <c r="L9" i="7" s="1"/>
  <c r="N9" i="7" s="1"/>
  <c r="M8" i="7"/>
  <c r="K8" i="7"/>
  <c r="I8" i="7"/>
  <c r="J8" i="7" s="1"/>
  <c r="L8" i="7" s="1"/>
  <c r="M7" i="7"/>
  <c r="K7" i="7"/>
  <c r="I7" i="7"/>
  <c r="J7" i="7" s="1"/>
  <c r="L7" i="7" s="1"/>
  <c r="M6" i="7"/>
  <c r="K6" i="7"/>
  <c r="I6" i="7"/>
  <c r="J6" i="7" s="1"/>
  <c r="L6" i="7" s="1"/>
  <c r="N6" i="7" s="1"/>
  <c r="M5" i="7"/>
  <c r="K5" i="7"/>
  <c r="I5" i="7"/>
  <c r="J5" i="7" s="1"/>
  <c r="L5" i="7" s="1"/>
  <c r="N5" i="7" s="1"/>
  <c r="M4" i="7"/>
  <c r="K4" i="7"/>
  <c r="I4" i="7"/>
  <c r="J4" i="7" s="1"/>
  <c r="L4" i="7" s="1"/>
  <c r="M3" i="7"/>
  <c r="N3" i="7" s="1"/>
  <c r="K3" i="7"/>
  <c r="I3" i="7"/>
  <c r="J3" i="7" s="1"/>
  <c r="M20" i="6"/>
  <c r="K20" i="6"/>
  <c r="I20" i="6"/>
  <c r="J20" i="6" s="1"/>
  <c r="L20" i="6" s="1"/>
  <c r="M19" i="6"/>
  <c r="K19" i="6"/>
  <c r="I19" i="6"/>
  <c r="J19" i="6" s="1"/>
  <c r="L19" i="6" s="1"/>
  <c r="M18" i="6"/>
  <c r="K18" i="6"/>
  <c r="I18" i="6"/>
  <c r="J18" i="6" s="1"/>
  <c r="L18" i="6" s="1"/>
  <c r="M17" i="6"/>
  <c r="K17" i="6"/>
  <c r="I17" i="6"/>
  <c r="J17" i="6" s="1"/>
  <c r="L17" i="6" s="1"/>
  <c r="M16" i="6"/>
  <c r="K16" i="6"/>
  <c r="I16" i="6"/>
  <c r="J16" i="6" s="1"/>
  <c r="L16" i="6" s="1"/>
  <c r="M15" i="6"/>
  <c r="K15" i="6"/>
  <c r="I15" i="6"/>
  <c r="J15" i="6" s="1"/>
  <c r="L15" i="6" s="1"/>
  <c r="M10" i="6"/>
  <c r="K10" i="6"/>
  <c r="I10" i="6"/>
  <c r="J10" i="6" s="1"/>
  <c r="L10" i="6" s="1"/>
  <c r="M9" i="6"/>
  <c r="K9" i="6"/>
  <c r="I9" i="6"/>
  <c r="J9" i="6" s="1"/>
  <c r="L9" i="6" s="1"/>
  <c r="M8" i="6"/>
  <c r="K8" i="6"/>
  <c r="I8" i="6"/>
  <c r="J8" i="6" s="1"/>
  <c r="L8" i="6" s="1"/>
  <c r="M7" i="6"/>
  <c r="K7" i="6"/>
  <c r="I7" i="6"/>
  <c r="J7" i="6" s="1"/>
  <c r="L7" i="6" s="1"/>
  <c r="M6" i="6"/>
  <c r="K6" i="6"/>
  <c r="I6" i="6"/>
  <c r="J6" i="6" s="1"/>
  <c r="L6" i="6" s="1"/>
  <c r="M5" i="6"/>
  <c r="K5" i="6"/>
  <c r="I5" i="6"/>
  <c r="J5" i="6" s="1"/>
  <c r="L5" i="6" s="1"/>
  <c r="M4" i="6"/>
  <c r="K4" i="6"/>
  <c r="I4" i="6"/>
  <c r="J4" i="6" s="1"/>
  <c r="L4" i="6" s="1"/>
  <c r="M3" i="6"/>
  <c r="K3" i="6"/>
  <c r="I3" i="6"/>
  <c r="J3" i="6" s="1"/>
  <c r="N4" i="7" l="1"/>
  <c r="P4" i="7" s="1"/>
  <c r="N16" i="7"/>
  <c r="N7" i="7"/>
  <c r="N19" i="7"/>
  <c r="O19" i="7" s="1"/>
  <c r="N8" i="7"/>
  <c r="O8" i="7" s="1"/>
  <c r="N20" i="7"/>
  <c r="O20" i="7" s="1"/>
  <c r="N15" i="7"/>
  <c r="N18" i="7"/>
  <c r="P16" i="7"/>
  <c r="O16" i="7"/>
  <c r="P7" i="7"/>
  <c r="O7" i="7"/>
  <c r="P19" i="7"/>
  <c r="P10" i="7"/>
  <c r="O10" i="7"/>
  <c r="P5" i="7"/>
  <c r="O5" i="7"/>
  <c r="P17" i="7"/>
  <c r="O17" i="7"/>
  <c r="P9" i="7"/>
  <c r="O9" i="7"/>
  <c r="P8" i="7"/>
  <c r="P20" i="7"/>
  <c r="P15" i="7"/>
  <c r="N21" i="7"/>
  <c r="O15" i="7"/>
  <c r="P3" i="7"/>
  <c r="O3" i="7"/>
  <c r="N11" i="7"/>
  <c r="P6" i="7"/>
  <c r="O6" i="7"/>
  <c r="P18" i="7"/>
  <c r="O18" i="7"/>
  <c r="O4" i="7" l="1"/>
  <c r="Q21" i="7"/>
  <c r="P21" i="7"/>
  <c r="O21" i="7"/>
  <c r="Q11" i="7"/>
  <c r="P11" i="7"/>
  <c r="O11" i="7"/>
  <c r="H17" i="1" l="1"/>
  <c r="B17" i="1"/>
  <c r="B18" i="1" l="1"/>
  <c r="B19" i="1" s="1"/>
  <c r="G25" i="7"/>
  <c r="G25" i="6"/>
  <c r="I33" i="7" l="1"/>
  <c r="I32" i="7"/>
  <c r="I31" i="7"/>
  <c r="I30" i="7"/>
  <c r="I29" i="7"/>
  <c r="I28" i="7"/>
  <c r="I27" i="7"/>
  <c r="I26" i="7"/>
  <c r="I25" i="7"/>
  <c r="I33" i="6"/>
  <c r="I32" i="6"/>
  <c r="I31" i="6"/>
  <c r="I30" i="6"/>
  <c r="I29" i="6"/>
  <c r="I28" i="6"/>
  <c r="I27" i="6"/>
  <c r="I26" i="6"/>
  <c r="I25" i="6"/>
  <c r="F25" i="1"/>
  <c r="H25" i="1" s="1"/>
  <c r="H33" i="1" l="1"/>
  <c r="B16" i="7" l="1"/>
  <c r="B17" i="7" s="1"/>
  <c r="B18" i="7" s="1"/>
  <c r="B22" i="7" s="1"/>
  <c r="B53" i="7"/>
  <c r="C48" i="7"/>
  <c r="B49" i="7" s="1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B43" i="6"/>
  <c r="C38" i="6"/>
  <c r="B39" i="6" s="1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48" i="7" l="1"/>
  <c r="B54" i="7" s="1"/>
  <c r="B55" i="7" s="1"/>
  <c r="B58" i="7" s="1"/>
  <c r="D38" i="6"/>
  <c r="B44" i="6" s="1"/>
  <c r="B45" i="6" s="1"/>
  <c r="L16" i="1"/>
  <c r="J16" i="1"/>
  <c r="H16" i="1"/>
  <c r="I16" i="1" s="1"/>
  <c r="K16" i="1" s="1"/>
  <c r="L15" i="1"/>
  <c r="J15" i="1"/>
  <c r="H15" i="1"/>
  <c r="I15" i="1" s="1"/>
  <c r="K15" i="1" s="1"/>
  <c r="L20" i="1"/>
  <c r="J20" i="1"/>
  <c r="H20" i="1"/>
  <c r="I20" i="1" s="1"/>
  <c r="K20" i="1" s="1"/>
  <c r="L19" i="1"/>
  <c r="J19" i="1"/>
  <c r="H19" i="1"/>
  <c r="I19" i="1" s="1"/>
  <c r="K19" i="1" s="1"/>
  <c r="L18" i="1"/>
  <c r="J18" i="1"/>
  <c r="H18" i="1"/>
  <c r="I18" i="1" s="1"/>
  <c r="K18" i="1" s="1"/>
  <c r="L17" i="1"/>
  <c r="J17" i="1"/>
  <c r="I17" i="1"/>
  <c r="K17" i="1" s="1"/>
  <c r="N16" i="6" l="1"/>
  <c r="N17" i="6"/>
  <c r="N7" i="6"/>
  <c r="N18" i="6"/>
  <c r="N8" i="6"/>
  <c r="N19" i="6"/>
  <c r="N9" i="6"/>
  <c r="N20" i="6"/>
  <c r="N10" i="6"/>
  <c r="N3" i="6"/>
  <c r="N4" i="6"/>
  <c r="B48" i="6"/>
  <c r="J31" i="6"/>
  <c r="J27" i="6"/>
  <c r="J30" i="6"/>
  <c r="J26" i="6"/>
  <c r="K26" i="6" s="1"/>
  <c r="J33" i="6"/>
  <c r="J29" i="6"/>
  <c r="J32" i="6"/>
  <c r="J28" i="6"/>
  <c r="J25" i="6"/>
  <c r="J28" i="7"/>
  <c r="K28" i="7" s="1"/>
  <c r="J32" i="7"/>
  <c r="K32" i="7" s="1"/>
  <c r="J29" i="7"/>
  <c r="K29" i="7" s="1"/>
  <c r="J33" i="7"/>
  <c r="K33" i="7" s="1"/>
  <c r="J26" i="7"/>
  <c r="K26" i="7" s="1"/>
  <c r="J30" i="7"/>
  <c r="K30" i="7" s="1"/>
  <c r="J25" i="7"/>
  <c r="K25" i="7" s="1"/>
  <c r="J27" i="7"/>
  <c r="K27" i="7" s="1"/>
  <c r="J31" i="7"/>
  <c r="K31" i="7" s="1"/>
  <c r="H7" i="1"/>
  <c r="I7" i="1" s="1"/>
  <c r="K7" i="1" s="1"/>
  <c r="J7" i="1"/>
  <c r="H8" i="1"/>
  <c r="I8" i="1" s="1"/>
  <c r="K8" i="1" s="1"/>
  <c r="J8" i="1"/>
  <c r="H9" i="1"/>
  <c r="I9" i="1" s="1"/>
  <c r="K9" i="1" s="1"/>
  <c r="J9" i="1"/>
  <c r="H10" i="1"/>
  <c r="I10" i="1" s="1"/>
  <c r="K10" i="1" s="1"/>
  <c r="J10" i="1"/>
  <c r="L10" i="1"/>
  <c r="L9" i="1"/>
  <c r="L8" i="1"/>
  <c r="L7" i="1"/>
  <c r="P10" i="6" l="1"/>
  <c r="O10" i="6"/>
  <c r="P8" i="6"/>
  <c r="P7" i="6"/>
  <c r="P6" i="6"/>
  <c r="P20" i="6"/>
  <c r="P9" i="6"/>
  <c r="P5" i="6"/>
  <c r="K32" i="6"/>
  <c r="K25" i="6"/>
  <c r="K29" i="6"/>
  <c r="K27" i="6"/>
  <c r="K28" i="6"/>
  <c r="K33" i="6"/>
  <c r="K31" i="6"/>
  <c r="K30" i="6"/>
  <c r="J34" i="6"/>
  <c r="J34" i="7"/>
  <c r="L34" i="6" l="1"/>
  <c r="B59" i="6" s="1"/>
  <c r="K34" i="6"/>
  <c r="B60" i="6" s="1"/>
  <c r="L34" i="7"/>
  <c r="B67" i="7" s="1"/>
  <c r="K34" i="7"/>
  <c r="B68" i="7" s="1"/>
  <c r="B61" i="7"/>
  <c r="B64" i="7"/>
  <c r="B63" i="7"/>
  <c r="B62" i="7"/>
  <c r="H26" i="1" l="1"/>
  <c r="H27" i="1"/>
  <c r="H28" i="1"/>
  <c r="H29" i="1"/>
  <c r="H30" i="1"/>
  <c r="H31" i="1"/>
  <c r="H32" i="1"/>
  <c r="L6" i="1"/>
  <c r="L3" i="1"/>
  <c r="J4" i="1"/>
  <c r="J5" i="1"/>
  <c r="J6" i="1"/>
  <c r="J3" i="1"/>
  <c r="H4" i="1"/>
  <c r="I4" i="1" s="1"/>
  <c r="K4" i="1" s="1"/>
  <c r="H5" i="1"/>
  <c r="I5" i="1" s="1"/>
  <c r="K5" i="1" s="1"/>
  <c r="H6" i="1"/>
  <c r="I6" i="1" s="1"/>
  <c r="K6" i="1" s="1"/>
  <c r="B23" i="1" l="1"/>
  <c r="M15" i="1" l="1"/>
  <c r="N15" i="1" s="1"/>
  <c r="M3" i="1"/>
  <c r="O3" i="1" s="1"/>
  <c r="M6" i="1"/>
  <c r="I25" i="1"/>
  <c r="J25" i="1" s="1"/>
  <c r="I28" i="1"/>
  <c r="J28" i="1" s="1"/>
  <c r="I32" i="1"/>
  <c r="J32" i="1" s="1"/>
  <c r="I29" i="1"/>
  <c r="J29" i="1" s="1"/>
  <c r="I33" i="1"/>
  <c r="J33" i="1" s="1"/>
  <c r="I26" i="1"/>
  <c r="J26" i="1" s="1"/>
  <c r="I30" i="1"/>
  <c r="J30" i="1" s="1"/>
  <c r="I27" i="1"/>
  <c r="J27" i="1" s="1"/>
  <c r="I31" i="1"/>
  <c r="J31" i="1" s="1"/>
  <c r="M20" i="1"/>
  <c r="N20" i="1" s="1"/>
  <c r="M10" i="1"/>
  <c r="O10" i="1" s="1"/>
  <c r="M4" i="1"/>
  <c r="O4" i="1" s="1"/>
  <c r="M8" i="1"/>
  <c r="N8" i="1" s="1"/>
  <c r="M17" i="1"/>
  <c r="O17" i="1" s="1"/>
  <c r="M16" i="1"/>
  <c r="O16" i="1" s="1"/>
  <c r="M7" i="1"/>
  <c r="N7" i="1" s="1"/>
  <c r="M19" i="1"/>
  <c r="N19" i="1" s="1"/>
  <c r="M5" i="1"/>
  <c r="N5" i="1" s="1"/>
  <c r="M9" i="1"/>
  <c r="N9" i="1" s="1"/>
  <c r="M18" i="1"/>
  <c r="N18" i="1" s="1"/>
  <c r="O6" i="1" l="1"/>
  <c r="N6" i="1"/>
  <c r="I34" i="1"/>
  <c r="N4" i="1"/>
  <c r="O15" i="1"/>
  <c r="N10" i="1"/>
  <c r="O20" i="1"/>
  <c r="N3" i="1"/>
  <c r="O8" i="1"/>
  <c r="N16" i="1"/>
  <c r="O19" i="1"/>
  <c r="M21" i="1"/>
  <c r="B31" i="1" s="1"/>
  <c r="O18" i="1"/>
  <c r="O5" i="1"/>
  <c r="O9" i="1"/>
  <c r="M11" i="1"/>
  <c r="B26" i="1" s="1"/>
  <c r="N17" i="1"/>
  <c r="O7" i="1"/>
  <c r="K34" i="1" l="1"/>
  <c r="B36" i="1" s="1"/>
  <c r="J34" i="1"/>
  <c r="B37" i="1" s="1"/>
  <c r="P11" i="1"/>
  <c r="O21" i="1"/>
  <c r="B32" i="1" s="1"/>
  <c r="P21" i="1"/>
  <c r="N21" i="1"/>
  <c r="B33" i="1" s="1"/>
  <c r="O11" i="1"/>
  <c r="B27" i="1" s="1"/>
  <c r="N11" i="1"/>
  <c r="B28" i="1" s="1"/>
  <c r="P4" i="6" l="1"/>
  <c r="P3" i="6"/>
  <c r="N11" i="6"/>
  <c r="B51" i="6" s="1"/>
  <c r="O11" i="6" l="1"/>
  <c r="B54" i="6" s="1"/>
  <c r="Q11" i="6"/>
  <c r="B52" i="6" s="1"/>
  <c r="P11" i="6"/>
  <c r="B53" i="6" s="1"/>
  <c r="N21" i="6" l="1"/>
  <c r="P18" i="6"/>
  <c r="P16" i="6"/>
  <c r="P17" i="6"/>
  <c r="P15" i="6"/>
  <c r="P19" i="6"/>
  <c r="O21" i="6" l="1"/>
  <c r="Q21" i="6"/>
  <c r="P21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JUAN FERNANDO YEPES VELEZ</author>
  </authors>
  <commentList>
    <comment ref="G2" authorId="0" shapeId="0" xr:uid="{13D53330-1B0D-4BA3-8ECC-1DD51B1A813E}">
      <text>
        <r>
          <rPr>
            <b/>
            <sz val="9"/>
            <color indexed="81"/>
            <rFont val="Tahoma"/>
            <family val="2"/>
          </rPr>
          <t>JUAN FERNANDO YEPES VELEZ:</t>
        </r>
        <r>
          <rPr>
            <sz val="9"/>
            <color indexed="81"/>
            <rFont val="Tahoma"/>
            <family val="2"/>
          </rPr>
          <t xml:space="preserve">
Tomados de la NEGC 709-01</t>
        </r>
      </text>
    </comment>
    <comment ref="N23" authorId="0" shapeId="0" xr:uid="{8C3F62F1-9181-436A-BFB5-F67BED6C2E51}">
      <text>
        <r>
          <rPr>
            <b/>
            <sz val="9"/>
            <color indexed="81"/>
            <rFont val="Tahoma"/>
            <family val="2"/>
          </rPr>
          <t>JUAN FERNANDO YEPES VELEZ:</t>
        </r>
        <r>
          <rPr>
            <sz val="9"/>
            <color indexed="81"/>
            <rFont val="Tahoma"/>
            <family val="2"/>
          </rPr>
          <t xml:space="preserve">
Tomados de: Dotaciones, ANC y desnsidad hab 2022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JUAN FERNANDO YEPES VELEZ</author>
  </authors>
  <commentList>
    <comment ref="G2" authorId="0" shapeId="0" xr:uid="{1C111DF7-8D87-48E9-9176-75670DEE31E2}">
      <text>
        <r>
          <rPr>
            <b/>
            <sz val="9"/>
            <color indexed="81"/>
            <rFont val="Tahoma"/>
            <family val="2"/>
          </rPr>
          <t>JUAN FERNANDO YEPES VELEZ:</t>
        </r>
        <r>
          <rPr>
            <sz val="9"/>
            <color indexed="81"/>
            <rFont val="Tahoma"/>
            <family val="2"/>
          </rPr>
          <t xml:space="preserve">
Tomados de la NEGC 709-01</t>
        </r>
      </text>
    </comment>
    <comment ref="N23" authorId="0" shapeId="0" xr:uid="{A4431F96-1555-4FE2-86BF-721249BDF978}">
      <text>
        <r>
          <rPr>
            <b/>
            <sz val="9"/>
            <color indexed="81"/>
            <rFont val="Tahoma"/>
            <family val="2"/>
          </rPr>
          <t>JUAN FERNANDO YEPES VELEZ:</t>
        </r>
        <r>
          <rPr>
            <sz val="9"/>
            <color indexed="81"/>
            <rFont val="Tahoma"/>
            <family val="2"/>
          </rPr>
          <t xml:space="preserve">
Tomados de: Dotaciones, ANC y desnsidad hab V5
</t>
        </r>
      </text>
    </comment>
  </commentList>
</comments>
</file>

<file path=xl/sharedStrings.xml><?xml version="1.0" encoding="utf-8"?>
<sst xmlns="http://schemas.openxmlformats.org/spreadsheetml/2006/main" count="347" uniqueCount="101">
  <si>
    <t>Aparatos</t>
  </si>
  <si>
    <t>Caudal por Aparato</t>
  </si>
  <si>
    <t>Lavamanos</t>
  </si>
  <si>
    <t>Lavabo</t>
  </si>
  <si>
    <t>Ducha</t>
  </si>
  <si>
    <t>Bañera L&gt;= 1,40 m</t>
  </si>
  <si>
    <t>Bañera L&lt; 1,40 m</t>
  </si>
  <si>
    <t>Bidé</t>
  </si>
  <si>
    <t>Inodoro  con tanque  (cisterna)</t>
  </si>
  <si>
    <t>Inodoro con fluxómetro</t>
  </si>
  <si>
    <t>Orinal (Urinarios) con grifo temporizado Fluxometro</t>
  </si>
  <si>
    <t xml:space="preserve">Orinal con tanque (Urinarios con cisterna (c/u)) </t>
  </si>
  <si>
    <t>Fregadero doméstico</t>
  </si>
  <si>
    <t>Fregadero no doméstico</t>
  </si>
  <si>
    <t>Lavavajillas doméstico</t>
  </si>
  <si>
    <t>Lavavajillas industrial (20 servicios)</t>
  </si>
  <si>
    <t>Lavadero</t>
  </si>
  <si>
    <t>Lavadora doméstica</t>
  </si>
  <si>
    <t>Lavadora industrial (8 kg)</t>
  </si>
  <si>
    <t>Grifo garaje</t>
  </si>
  <si>
    <t>Vertedero</t>
  </si>
  <si>
    <t>Total</t>
  </si>
  <si>
    <t>Empresas Públicas de Medellín E.S.P.</t>
  </si>
  <si>
    <t>Nº. Aparatos</t>
  </si>
  <si>
    <t>Rango calculado</t>
  </si>
  <si>
    <t>Diámetro</t>
  </si>
  <si>
    <t>Q3 [m3/h]</t>
  </si>
  <si>
    <t>Q1 [m3/h]</t>
  </si>
  <si>
    <t>Q2 [m3/h]</t>
  </si>
  <si>
    <t>Q4 [m3/h]</t>
  </si>
  <si>
    <t>R</t>
  </si>
  <si>
    <t>1. Datos del proyecto y diseñador</t>
  </si>
  <si>
    <t>Nombre del diseñador:</t>
  </si>
  <si>
    <t>Nombre del proyecto:</t>
  </si>
  <si>
    <t>Fecha de elaboración:</t>
  </si>
  <si>
    <t>Medidores que cumplen</t>
  </si>
  <si>
    <t>Mín [m3/h]</t>
  </si>
  <si>
    <t>Máx [m3/h]</t>
  </si>
  <si>
    <t>Mínimo</t>
  </si>
  <si>
    <t>Diámetro interno</t>
  </si>
  <si>
    <t>Acometida</t>
  </si>
  <si>
    <t>Velocidad máx. [m/s]</t>
  </si>
  <si>
    <t>Caudal máx. [l/s]</t>
  </si>
  <si>
    <t>2. Determinación del Volumen del tanque</t>
  </si>
  <si>
    <t>3. Calculo de caudal que pasará por la acometida y medidor</t>
  </si>
  <si>
    <t>Número de viviendas:</t>
  </si>
  <si>
    <t>Volumen del tanque a llenar escogido:</t>
  </si>
  <si>
    <t>Tiempo de llenado de tanque:</t>
  </si>
  <si>
    <t>Caudal:</t>
  </si>
  <si>
    <t>Tipo:</t>
  </si>
  <si>
    <t>Relación R mínima (Q3/Q1):</t>
  </si>
  <si>
    <t>Diámetro de la acometida:</t>
  </si>
  <si>
    <t>Velocidad</t>
  </si>
  <si>
    <t>Velocidad en el medidor:</t>
  </si>
  <si>
    <t>Aplicativo para el calculo del dimensionamiento de acometida y medidor para sumistro de forma mixta (Bombeo y presión directa de la red)</t>
  </si>
  <si>
    <t>3. Caudal aportado por el sistema de bombeo</t>
  </si>
  <si>
    <t>Cantidad de instalaciones del mismo tipo:</t>
  </si>
  <si>
    <t>Simultaneidad por aparatos Kv</t>
  </si>
  <si>
    <t>4. Cálculo del caudal aportada por cada local, oficina, etc.</t>
  </si>
  <si>
    <t>Caudal máximo probable Qmaxe:</t>
  </si>
  <si>
    <t>Simultaneidad por instalación repetida Ke:</t>
  </si>
  <si>
    <t>5. Caudal aportado por el sistema con presión directa de la red</t>
  </si>
  <si>
    <t>6. Caudal que pasará por la acometida y medidor</t>
  </si>
  <si>
    <t>7. Medidor a instalar cálculado</t>
  </si>
  <si>
    <t>Firma del diseñador</t>
  </si>
  <si>
    <t>Aplicativo para el calculo del dimensionamiento de acometida y medidor para sumistro con presión directa de la red.</t>
  </si>
  <si>
    <t>Caudal total</t>
  </si>
  <si>
    <t>Aplicativo para el calculo del dimensionamiento de acometida y medidor para sumistro con sistema de bombeo</t>
  </si>
  <si>
    <t>Pozuelo o grifo aislado</t>
  </si>
  <si>
    <t>Mecánico</t>
  </si>
  <si>
    <t>Nota: Para  el manejo de este aplicativo solo será necesario que el diseñador diligencie las celdas sombreadas en gris.</t>
  </si>
  <si>
    <t>Se deberá verificar que la velocidad en el medidor no sea muy alta con el objeto de controlar ruidos y vibraciones.</t>
  </si>
  <si>
    <t>Dotación neta:</t>
  </si>
  <si>
    <t>Estrato</t>
  </si>
  <si>
    <t>Estrato:</t>
  </si>
  <si>
    <t>Residencial</t>
  </si>
  <si>
    <t>Velocidad en la acometida:</t>
  </si>
  <si>
    <t>Tipo de Medidor</t>
  </si>
  <si>
    <t>Diámetro mínimo del medidor:</t>
  </si>
  <si>
    <t>Notas:</t>
  </si>
  <si>
    <t>Consumos por estrato</t>
  </si>
  <si>
    <t>Medidores mecánicos</t>
  </si>
  <si>
    <t>Consumo mensual estimado:</t>
  </si>
  <si>
    <t>Tipo de proyecto:</t>
  </si>
  <si>
    <t>Volumen del tanque a llenar estimado:</t>
  </si>
  <si>
    <t>2. Tipo de proyecto:</t>
  </si>
  <si>
    <t>3. Cálculo del caudal aportada por cada local, oficina, etc.</t>
  </si>
  <si>
    <t>4. Caudal aportado por el sistema con presión directa de la red</t>
  </si>
  <si>
    <t>5. Caudal que pasará por la acometida y medidor</t>
  </si>
  <si>
    <t>6. Medidor a instalar cálculado</t>
  </si>
  <si>
    <t>7. Acometida a instalar cálculada</t>
  </si>
  <si>
    <t>8. Acometida a instalar cálculada</t>
  </si>
  <si>
    <t>Este aplicativo contiene ecuaciones que permiten el cálculo del dimensionamiento de acometidas y medidores; sin embargo EPM no asume responsabilidad alguna por su uso. El usuario deberá validar los criterios contenidos en el aplicativo y revisar los resultados.</t>
  </si>
  <si>
    <t>PE80 PN16</t>
  </si>
  <si>
    <t>PE100 PN16</t>
  </si>
  <si>
    <t>Material</t>
  </si>
  <si>
    <t>Ultrasónico</t>
  </si>
  <si>
    <t>Medidores ultrasónicos</t>
  </si>
  <si>
    <t>4. Medidor mecánico cálculado</t>
  </si>
  <si>
    <t>6. Acometida a instalar cálculada</t>
  </si>
  <si>
    <t>5. Medidor ultrasónico cálculado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</si>
</sst>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0.000"/>
    <numFmt numFmtId="165" formatCode="0.00\ &quot;m³/h&quot;"/>
    <numFmt numFmtId="166" formatCode="0.00\ &quot;L/s&quot;"/>
    <numFmt numFmtId="167" formatCode="0.00\ &quot;m³&quot;"/>
    <numFmt numFmtId="168" formatCode="0\ &quot;horas&quot;"/>
    <numFmt numFmtId="169" formatCode="_ [$€-2]\ * #,##0.00_ ;_ [$€-2]\ * \-#,##0.00_ ;_ [$€-2]\ * &quot;-&quot;??_ "/>
    <numFmt numFmtId="170" formatCode="0.00\ &quot;m³/viv-mes&quot;"/>
    <numFmt numFmtId="171" formatCode="0\ &quot;Viv&quot;"/>
    <numFmt numFmtId="172" formatCode="00&quot; mm&quot;"/>
    <numFmt numFmtId="173" formatCode="0.00&quot; m/s&quot;"/>
    <numFmt numFmtId="174" formatCode="dd/mm/yyyy;@"/>
    <numFmt numFmtId="175" formatCode="00&quot; mca&quot;"/>
    <numFmt numFmtId="176" formatCode="0.00\ &quot;m³/mes&quot;"/>
    <numFmt numFmtId="177" formatCode="00.0&quot; mm&quot;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3333FF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9" fontId="1" fillId="0" borderId="0" applyFont="0" applyFill="0" applyBorder="0" applyAlignment="0" applyProtection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Continuous" wrapText="1"/>
    </xf>
    <xf numFmtId="0" fontId="3" fillId="0" borderId="1" xfId="1" applyFont="1" applyBorder="1"/>
    <xf numFmtId="0" fontId="3" fillId="0" borderId="1" xfId="1" applyFont="1" applyFill="1" applyBorder="1"/>
    <xf numFmtId="0" fontId="3" fillId="0" borderId="0" xfId="1" applyFont="1" applyFill="1" applyBorder="1"/>
    <xf numFmtId="165" fontId="3" fillId="0" borderId="0" xfId="1" applyNumberFormat="1" applyFont="1" applyBorder="1" applyAlignment="1">
      <alignment horizontal="center"/>
    </xf>
    <xf numFmtId="0" fontId="2" fillId="0" borderId="0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2" fontId="3" fillId="0" borderId="1" xfId="0" applyNumberFormat="1" applyFont="1" applyFill="1" applyBorder="1" applyAlignment="1">
      <alignment horizontal="center"/>
    </xf>
    <xf numFmtId="0" fontId="1" fillId="0" borderId="0" xfId="1"/>
    <xf numFmtId="172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173" fontId="2" fillId="0" borderId="1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/>
    <xf numFmtId="0" fontId="2" fillId="0" borderId="4" xfId="0" applyFont="1" applyBorder="1"/>
    <xf numFmtId="166" fontId="2" fillId="0" borderId="1" xfId="0" applyNumberFormat="1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170" fontId="3" fillId="2" borderId="1" xfId="1" applyNumberFormat="1" applyFont="1" applyFill="1" applyBorder="1" applyAlignment="1" applyProtection="1">
      <protection locked="0"/>
    </xf>
    <xf numFmtId="17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7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72" fontId="2" fillId="0" borderId="5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3" fillId="0" borderId="5" xfId="0" applyNumberFormat="1" applyFont="1" applyFill="1" applyBorder="1" applyAlignment="1">
      <alignment horizontal="center"/>
    </xf>
    <xf numFmtId="173" fontId="2" fillId="0" borderId="5" xfId="0" applyNumberFormat="1" applyFont="1" applyBorder="1" applyAlignment="1">
      <alignment horizontal="center"/>
    </xf>
    <xf numFmtId="175" fontId="2" fillId="0" borderId="0" xfId="0" applyNumberFormat="1" applyFont="1" applyBorder="1" applyAlignment="1"/>
    <xf numFmtId="173" fontId="2" fillId="0" borderId="0" xfId="0" applyNumberFormat="1" applyFont="1" applyBorder="1" applyAlignment="1">
      <alignment horizontal="center"/>
    </xf>
    <xf numFmtId="1" fontId="3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2" fontId="6" fillId="0" borderId="1" xfId="0" applyNumberFormat="1" applyFont="1" applyBorder="1" applyAlignment="1">
      <alignment horizontal="center"/>
    </xf>
    <xf numFmtId="173" fontId="6" fillId="0" borderId="1" xfId="0" applyNumberFormat="1" applyFont="1" applyBorder="1" applyAlignment="1">
      <alignment horizontal="center"/>
    </xf>
    <xf numFmtId="1" fontId="7" fillId="0" borderId="1" xfId="0" applyNumberFormat="1" applyFont="1" applyFill="1" applyBorder="1" applyAlignment="1">
      <alignment horizontal="center"/>
    </xf>
    <xf numFmtId="172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4" borderId="3" xfId="0" applyFont="1" applyFill="1" applyBorder="1" applyAlignment="1">
      <alignment horizontal="centerContinuous" vertical="center"/>
    </xf>
    <xf numFmtId="0" fontId="3" fillId="4" borderId="3" xfId="0" applyFont="1" applyFill="1" applyBorder="1" applyAlignment="1">
      <alignment horizontal="centerContinuous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1" applyFont="1" applyBorder="1"/>
    <xf numFmtId="176" fontId="3" fillId="0" borderId="0" xfId="1" applyNumberFormat="1" applyFont="1" applyBorder="1" applyAlignment="1" applyProtection="1">
      <alignment horizontal="center"/>
      <protection locked="0"/>
    </xf>
    <xf numFmtId="49" fontId="2" fillId="0" borderId="5" xfId="0" applyNumberFormat="1" applyFont="1" applyFill="1" applyBorder="1" applyAlignment="1">
      <alignment horizontal="center"/>
    </xf>
    <xf numFmtId="172" fontId="2" fillId="0" borderId="1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left"/>
    </xf>
    <xf numFmtId="177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72" fontId="2" fillId="0" borderId="1" xfId="0" applyNumberFormat="1" applyFont="1" applyBorder="1" applyAlignment="1">
      <alignment horizontal="center"/>
    </xf>
    <xf numFmtId="177" fontId="2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 vertical="top" wrapText="1"/>
    </xf>
    <xf numFmtId="164" fontId="3" fillId="0" borderId="1" xfId="1" applyNumberFormat="1" applyFont="1" applyFill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164" fontId="3" fillId="0" borderId="1" xfId="1" applyNumberFormat="1" applyFont="1" applyBorder="1" applyAlignment="1">
      <alignment horizontal="center" vertical="top" wrapText="1"/>
    </xf>
    <xf numFmtId="172" fontId="2" fillId="0" borderId="1" xfId="0" applyNumberFormat="1" applyFont="1" applyBorder="1" applyAlignment="1">
      <alignment horizontal="center"/>
    </xf>
    <xf numFmtId="0" fontId="1" fillId="0" borderId="0" xfId="1" applyAlignment="1">
      <alignment horizontal="left" wrapText="1"/>
    </xf>
    <xf numFmtId="0" fontId="1" fillId="0" borderId="0" xfId="1" applyAlignment="1">
      <alignment wrapText="1"/>
    </xf>
    <xf numFmtId="0" fontId="3" fillId="4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172" fontId="2" fillId="0" borderId="1" xfId="0" applyNumberFormat="1" applyFont="1" applyBorder="1" applyAlignment="1">
      <alignment horizontal="center"/>
    </xf>
    <xf numFmtId="0" fontId="3" fillId="4" borderId="3" xfId="0" applyFont="1" applyFill="1" applyBorder="1" applyAlignment="1">
      <alignment horizontal="center" vertical="center"/>
    </xf>
    <xf numFmtId="172" fontId="2" fillId="0" borderId="1" xfId="0" applyNumberFormat="1" applyFont="1" applyBorder="1" applyAlignment="1">
      <alignment horizontal="center"/>
    </xf>
    <xf numFmtId="0" fontId="1" fillId="0" borderId="0" xfId="1" applyAlignment="1">
      <alignment horizontal="left" vertical="center" wrapText="1"/>
    </xf>
    <xf numFmtId="0" fontId="2" fillId="2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/>
    </xf>
    <xf numFmtId="172" fontId="2" fillId="0" borderId="2" xfId="0" applyNumberFormat="1" applyFont="1" applyBorder="1" applyAlignment="1">
      <alignment horizontal="center"/>
    </xf>
    <xf numFmtId="172" fontId="2" fillId="0" borderId="3" xfId="0" applyNumberFormat="1" applyFont="1" applyBorder="1" applyAlignment="1">
      <alignment horizontal="center"/>
    </xf>
    <xf numFmtId="167" fontId="3" fillId="2" borderId="1" xfId="1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172" fontId="2" fillId="0" borderId="1" xfId="0" applyNumberFormat="1" applyFont="1" applyBorder="1" applyAlignment="1">
      <alignment horizontal="center"/>
    </xf>
    <xf numFmtId="173" fontId="2" fillId="0" borderId="2" xfId="0" applyNumberFormat="1" applyFont="1" applyBorder="1" applyAlignment="1">
      <alignment horizontal="center"/>
    </xf>
    <xf numFmtId="173" fontId="2" fillId="0" borderId="3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168" fontId="3" fillId="0" borderId="1" xfId="1" applyNumberFormat="1" applyFont="1" applyFill="1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>
      <alignment horizontal="center"/>
    </xf>
    <xf numFmtId="170" fontId="3" fillId="0" borderId="1" xfId="1" applyNumberFormat="1" applyFont="1" applyFill="1" applyBorder="1" applyAlignment="1" applyProtection="1">
      <alignment horizontal="center"/>
      <protection locked="0"/>
    </xf>
    <xf numFmtId="1" fontId="3" fillId="2" borderId="1" xfId="1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wrapText="1"/>
    </xf>
    <xf numFmtId="176" fontId="3" fillId="0" borderId="2" xfId="1" applyNumberFormat="1" applyFont="1" applyBorder="1" applyAlignment="1" applyProtection="1">
      <alignment horizontal="center"/>
      <protection locked="0"/>
    </xf>
    <xf numFmtId="176" fontId="3" fillId="0" borderId="3" xfId="1" applyNumberFormat="1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left" vertical="center" wrapText="1"/>
    </xf>
    <xf numFmtId="167" fontId="3" fillId="0" borderId="2" xfId="1" applyNumberFormat="1" applyFont="1" applyBorder="1" applyAlignment="1" applyProtection="1">
      <alignment horizontal="center"/>
      <protection locked="0"/>
    </xf>
    <xf numFmtId="167" fontId="3" fillId="0" borderId="3" xfId="1" applyNumberFormat="1" applyFont="1" applyBorder="1" applyAlignment="1" applyProtection="1">
      <alignment horizontal="center"/>
      <protection locked="0"/>
    </xf>
    <xf numFmtId="167" fontId="3" fillId="2" borderId="2" xfId="1" applyNumberFormat="1" applyFont="1" applyFill="1" applyBorder="1" applyAlignment="1" applyProtection="1">
      <alignment horizontal="center"/>
      <protection locked="0"/>
    </xf>
    <xf numFmtId="167" fontId="3" fillId="2" borderId="3" xfId="1" applyNumberFormat="1" applyFont="1" applyFill="1" applyBorder="1" applyAlignment="1" applyProtection="1">
      <alignment horizontal="center"/>
      <protection locked="0"/>
    </xf>
    <xf numFmtId="174" fontId="2" fillId="2" borderId="1" xfId="0" applyNumberFormat="1" applyFont="1" applyFill="1" applyBorder="1" applyAlignment="1">
      <alignment horizontal="left"/>
    </xf>
    <xf numFmtId="2" fontId="2" fillId="0" borderId="1" xfId="0" applyNumberFormat="1" applyFont="1" applyBorder="1" applyAlignment="1">
      <alignment horizontal="center"/>
    </xf>
    <xf numFmtId="166" fontId="3" fillId="0" borderId="2" xfId="1" applyNumberFormat="1" applyFont="1" applyBorder="1" applyAlignment="1">
      <alignment horizontal="center"/>
    </xf>
    <xf numFmtId="166" fontId="3" fillId="0" borderId="3" xfId="1" applyNumberFormat="1" applyFont="1" applyBorder="1" applyAlignment="1">
      <alignment horizontal="center"/>
    </xf>
    <xf numFmtId="165" fontId="3" fillId="0" borderId="2" xfId="1" applyNumberFormat="1" applyFont="1" applyBorder="1" applyAlignment="1">
      <alignment horizontal="center"/>
    </xf>
    <xf numFmtId="165" fontId="3" fillId="0" borderId="3" xfId="1" applyNumberFormat="1" applyFont="1" applyBorder="1" applyAlignment="1">
      <alignment horizontal="center"/>
    </xf>
    <xf numFmtId="171" fontId="3" fillId="2" borderId="1" xfId="1" applyNumberFormat="1" applyFont="1" applyFill="1" applyBorder="1" applyAlignment="1" applyProtection="1">
      <alignment horizontal="center" vertical="center"/>
      <protection locked="0"/>
    </xf>
    <xf numFmtId="0" fontId="1" fillId="0" borderId="0" xfId="1" applyAlignment="1">
      <alignment horizontal="left" wrapText="1"/>
    </xf>
  </cellXfs>
  <cellStyles count="3">
    <cellStyle name="Euro" xfId="2" xr:uid="{00000000-0005-0000-0000-000000000000}"/>
    <cellStyle name="Normal" xfId="0" builtinId="0"/>
    <cellStyle name="Normal 2" xfId="1" xr:uid="{00000000-0005-0000-0000-000002000000}"/>
  </cellStyles>
  <dxfs count="5">
    <dxf>
      <font>
        <b val="0"/>
        <i val="0"/>
        <strike val="0"/>
      </font>
      <numFmt numFmtId="1" formatCode="0"/>
      <fill>
        <patternFill>
          <bgColor theme="0"/>
        </patternFill>
      </fill>
    </dxf>
    <dxf>
      <font>
        <b val="0"/>
        <i val="0"/>
        <strike val="0"/>
      </font>
      <numFmt numFmtId="1" formatCode="0"/>
      <fill>
        <patternFill>
          <bgColor theme="0"/>
        </patternFill>
      </fill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197827</xdr:colOff>
      <xdr:row>0</xdr:row>
      <xdr:rowOff>84259</xdr:rowOff>
    </xdr:from>
    <xdr:to>
      <xdr:col>2</xdr:col>
      <xdr:colOff>1035293</xdr:colOff>
      <xdr:row>1</xdr:row>
      <xdr:rowOff>256311</xdr:rowOff>
    </xdr:to>
    <xdr:pic>
      <xdr:nvPicPr>
        <xdr:cNvPr id="2" name="1 Imagen" descr="logo escala de grises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85846" y="84259"/>
          <a:ext cx="837466" cy="33697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1244</xdr:rowOff>
    </xdr:from>
    <xdr:to>
      <xdr:col>1</xdr:col>
      <xdr:colOff>1670538</xdr:colOff>
      <xdr:row>1</xdr:row>
      <xdr:rowOff>7327</xdr:rowOff>
    </xdr:to>
    <xdr:cxnSp macro="">
      <xdr:nvCxnSpPr>
        <xdr:cNvPr id="3" name="2 Conector rec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0" y="162436"/>
          <a:ext cx="4535365" cy="608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597877</xdr:colOff>
      <xdr:row>0</xdr:row>
      <xdr:rowOff>74734</xdr:rowOff>
    </xdr:from>
    <xdr:to>
      <xdr:col>3</xdr:col>
      <xdr:colOff>711443</xdr:colOff>
      <xdr:row>1</xdr:row>
      <xdr:rowOff>246786</xdr:rowOff>
    </xdr:to>
    <xdr:pic>
      <xdr:nvPicPr>
        <xdr:cNvPr id="2" name="1 Imagen" descr="logo escala de grises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03127" y="74734"/>
          <a:ext cx="837466" cy="33397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152400</xdr:rowOff>
    </xdr:from>
    <xdr:to>
      <xdr:col>2</xdr:col>
      <xdr:colOff>485775</xdr:colOff>
      <xdr:row>1</xdr:row>
      <xdr:rowOff>1244</xdr:rowOff>
    </xdr:to>
    <xdr:cxnSp macro="">
      <xdr:nvCxnSpPr>
        <xdr:cNvPr id="3" name="2 Conector rect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V="1">
          <a:off x="0" y="152400"/>
          <a:ext cx="4391025" cy="1076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597877</xdr:colOff>
      <xdr:row>0</xdr:row>
      <xdr:rowOff>74734</xdr:rowOff>
    </xdr:from>
    <xdr:to>
      <xdr:col>3</xdr:col>
      <xdr:colOff>711443</xdr:colOff>
      <xdr:row>1</xdr:row>
      <xdr:rowOff>246786</xdr:rowOff>
    </xdr:to>
    <xdr:pic>
      <xdr:nvPicPr>
        <xdr:cNvPr id="2" name="1 Imagen" descr="logo escala de grises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03127" y="74734"/>
          <a:ext cx="837466" cy="33397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152400</xdr:rowOff>
    </xdr:from>
    <xdr:to>
      <xdr:col>2</xdr:col>
      <xdr:colOff>485775</xdr:colOff>
      <xdr:row>1</xdr:row>
      <xdr:rowOff>1244</xdr:rowOff>
    </xdr:to>
    <xdr:cxnSp macro="">
      <xdr:nvCxnSpPr>
        <xdr:cNvPr id="3" name="2 Conector rect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 flipV="1">
          <a:off x="0" y="152400"/>
          <a:ext cx="4391025" cy="1076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6"/>
  <sheetViews>
    <sheetView tabSelected="1" view="pageBreakPreview" zoomScaleNormal="130" zoomScaleSheetLayoutView="100" workbookViewId="0">
      <selection activeCell="N32" sqref="N32"/>
    </sheetView>
  </sheetViews>
  <sheetFormatPr baseColWidth="10" defaultRowHeight="12.75" x14ac:dyDescent="0.2"/>
  <cols>
    <col min="1" max="1" width="39.140625" style="1" customWidth="1"/>
    <col min="2" max="2" width="17.7109375" style="1" customWidth="1"/>
    <col min="3" max="3" width="16.7109375" style="1" customWidth="1"/>
    <col min="4" max="4" width="11.42578125" style="1"/>
    <col min="5" max="5" width="8.28515625" style="1" customWidth="1"/>
    <col min="6" max="6" width="14.42578125" style="1" bestFit="1" customWidth="1"/>
    <col min="7" max="8" width="17.7109375" style="1" bestFit="1" customWidth="1"/>
    <col min="9" max="9" width="14.42578125" style="1" bestFit="1" customWidth="1"/>
    <col min="10" max="10" width="9.28515625" style="1" customWidth="1"/>
    <col min="11" max="11" width="14" style="1" customWidth="1"/>
    <col min="12" max="12" width="10.140625" style="1" bestFit="1" customWidth="1"/>
    <col min="13" max="13" width="20" style="1" customWidth="1"/>
    <col min="14" max="14" width="14.5703125" style="1" bestFit="1" customWidth="1"/>
    <col min="15" max="15" width="5.140625" style="1" bestFit="1" customWidth="1"/>
    <col min="16" max="16" width="14.5703125" style="1" bestFit="1" customWidth="1"/>
    <col min="17" max="16384" width="11.42578125" style="1"/>
  </cols>
  <sheetData>
    <row r="1" spans="1:16" x14ac:dyDescent="0.2">
      <c r="A1" s="102" t="s">
        <v>22</v>
      </c>
      <c r="B1" s="102"/>
      <c r="C1" s="2"/>
      <c r="D1" s="3"/>
      <c r="E1" s="90" t="s">
        <v>81</v>
      </c>
      <c r="F1" s="91"/>
      <c r="G1" s="91"/>
      <c r="H1" s="91"/>
      <c r="I1" s="91"/>
      <c r="J1" s="92"/>
      <c r="K1" s="55" t="s">
        <v>24</v>
      </c>
      <c r="L1" s="55"/>
      <c r="M1" s="56" t="s">
        <v>35</v>
      </c>
      <c r="N1" s="57" t="s">
        <v>52</v>
      </c>
      <c r="O1" s="56" t="s">
        <v>30</v>
      </c>
      <c r="P1" s="56" t="s">
        <v>77</v>
      </c>
    </row>
    <row r="2" spans="1:16" ht="25.5" customHeight="1" x14ac:dyDescent="0.2">
      <c r="A2" s="102" t="s">
        <v>67</v>
      </c>
      <c r="B2" s="102"/>
      <c r="C2" s="2"/>
      <c r="D2" s="3"/>
      <c r="E2" s="20" t="s">
        <v>25</v>
      </c>
      <c r="F2" s="20" t="s">
        <v>26</v>
      </c>
      <c r="G2" s="20" t="s">
        <v>30</v>
      </c>
      <c r="H2" s="20" t="s">
        <v>27</v>
      </c>
      <c r="I2" s="20" t="s">
        <v>28</v>
      </c>
      <c r="J2" s="20" t="s">
        <v>29</v>
      </c>
      <c r="K2" s="20" t="s">
        <v>36</v>
      </c>
      <c r="L2" s="20" t="s">
        <v>37</v>
      </c>
      <c r="M2" s="20"/>
      <c r="N2" s="20"/>
      <c r="O2" s="20"/>
      <c r="P2" s="20"/>
    </row>
    <row r="3" spans="1:16" x14ac:dyDescent="0.2">
      <c r="A3" s="19"/>
      <c r="B3" s="19"/>
      <c r="C3" s="2"/>
      <c r="E3" s="18">
        <v>15</v>
      </c>
      <c r="F3" s="10">
        <v>2.5</v>
      </c>
      <c r="G3" s="10">
        <v>160</v>
      </c>
      <c r="H3" s="10">
        <f>+F3/G3</f>
        <v>1.5625E-2</v>
      </c>
      <c r="I3" s="10">
        <f>H3*1.6</f>
        <v>2.5000000000000001E-2</v>
      </c>
      <c r="J3" s="10">
        <f>+F3*1.25</f>
        <v>3.125</v>
      </c>
      <c r="K3" s="16">
        <f>+I3*5</f>
        <v>0.125</v>
      </c>
      <c r="L3" s="16">
        <f t="shared" ref="L3:L10" si="0">+F3</f>
        <v>2.5</v>
      </c>
      <c r="M3" s="18" t="str">
        <f>IF(AND($B$23&gt;K3,$B$23&lt;L3),E3,"")</f>
        <v/>
      </c>
      <c r="N3" s="21" t="str">
        <f t="shared" ref="N3:N10" si="1">IF(M3="","",($B$23/3600)/((E3/2000)^2*PI()))</f>
        <v/>
      </c>
      <c r="O3" s="46" t="str">
        <f t="shared" ref="O3:O7" si="2">IF(M3="","",G3)</f>
        <v/>
      </c>
      <c r="P3" s="21" t="s">
        <v>69</v>
      </c>
    </row>
    <row r="4" spans="1:16" x14ac:dyDescent="0.2">
      <c r="A4" s="105" t="s">
        <v>70</v>
      </c>
      <c r="B4" s="105"/>
      <c r="C4" s="105"/>
      <c r="E4" s="18">
        <v>20</v>
      </c>
      <c r="F4" s="10">
        <v>4</v>
      </c>
      <c r="G4" s="10">
        <v>160</v>
      </c>
      <c r="H4" s="13">
        <f t="shared" ref="H4:H6" si="3">+F4/G4</f>
        <v>2.5000000000000001E-2</v>
      </c>
      <c r="I4" s="13">
        <f t="shared" ref="I4:I6" si="4">H4*1.6</f>
        <v>4.0000000000000008E-2</v>
      </c>
      <c r="J4" s="13">
        <f t="shared" ref="J4:J6" si="5">+F4*1.25</f>
        <v>5</v>
      </c>
      <c r="K4" s="16">
        <f>+I4*5</f>
        <v>0.20000000000000004</v>
      </c>
      <c r="L4" s="16">
        <f>+F4</f>
        <v>4</v>
      </c>
      <c r="M4" s="18" t="str">
        <f t="shared" ref="M4:M10" si="6">IF(AND($B$23&gt;K4,$B$23&lt;L4),E4,"")</f>
        <v/>
      </c>
      <c r="N4" s="21" t="str">
        <f t="shared" si="1"/>
        <v/>
      </c>
      <c r="O4" s="46" t="str">
        <f t="shared" si="2"/>
        <v/>
      </c>
      <c r="P4" s="21" t="s">
        <v>69</v>
      </c>
    </row>
    <row r="5" spans="1:16" x14ac:dyDescent="0.2">
      <c r="A5" s="105"/>
      <c r="B5" s="105"/>
      <c r="C5" s="105"/>
      <c r="E5" s="18">
        <v>25</v>
      </c>
      <c r="F5" s="10">
        <v>6.3</v>
      </c>
      <c r="G5" s="10">
        <v>160</v>
      </c>
      <c r="H5" s="13">
        <f t="shared" si="3"/>
        <v>3.9375E-2</v>
      </c>
      <c r="I5" s="13">
        <f t="shared" si="4"/>
        <v>6.3E-2</v>
      </c>
      <c r="J5" s="13">
        <f t="shared" si="5"/>
        <v>7.875</v>
      </c>
      <c r="K5" s="16">
        <f t="shared" ref="K5:K10" si="7">+I5*5</f>
        <v>0.315</v>
      </c>
      <c r="L5" s="16">
        <f>+F5</f>
        <v>6.3</v>
      </c>
      <c r="M5" s="18" t="str">
        <f t="shared" si="6"/>
        <v/>
      </c>
      <c r="N5" s="21" t="str">
        <f t="shared" si="1"/>
        <v/>
      </c>
      <c r="O5" s="46" t="str">
        <f t="shared" si="2"/>
        <v/>
      </c>
      <c r="P5" s="21" t="s">
        <v>69</v>
      </c>
    </row>
    <row r="6" spans="1:16" x14ac:dyDescent="0.2">
      <c r="E6" s="18">
        <v>40</v>
      </c>
      <c r="F6" s="11">
        <v>16</v>
      </c>
      <c r="G6" s="10">
        <v>160</v>
      </c>
      <c r="H6" s="13">
        <f t="shared" si="3"/>
        <v>0.1</v>
      </c>
      <c r="I6" s="13">
        <f t="shared" si="4"/>
        <v>0.16000000000000003</v>
      </c>
      <c r="J6" s="13">
        <f t="shared" si="5"/>
        <v>20</v>
      </c>
      <c r="K6" s="16">
        <f t="shared" si="7"/>
        <v>0.80000000000000016</v>
      </c>
      <c r="L6" s="16">
        <f t="shared" si="0"/>
        <v>16</v>
      </c>
      <c r="M6" s="18">
        <f t="shared" si="6"/>
        <v>40</v>
      </c>
      <c r="N6" s="21">
        <f>IF(M6="","",($B$23/3600)/((E6/2000)^2*PI()))</f>
        <v>3.2575156189585606</v>
      </c>
      <c r="O6" s="46">
        <f t="shared" si="2"/>
        <v>160</v>
      </c>
      <c r="P6" s="21" t="s">
        <v>69</v>
      </c>
    </row>
    <row r="7" spans="1:16" x14ac:dyDescent="0.2">
      <c r="A7" s="1" t="s">
        <v>31</v>
      </c>
      <c r="E7" s="34">
        <v>50</v>
      </c>
      <c r="F7" s="14">
        <v>25</v>
      </c>
      <c r="G7" s="35">
        <v>160</v>
      </c>
      <c r="H7" s="35">
        <f t="shared" ref="H7:H10" si="8">+F7/G7</f>
        <v>0.15625</v>
      </c>
      <c r="I7" s="35">
        <f t="shared" ref="I7:I10" si="9">H7*1.6</f>
        <v>0.25</v>
      </c>
      <c r="J7" s="35">
        <f t="shared" ref="J7:J10" si="10">+F7*1.25</f>
        <v>31.25</v>
      </c>
      <c r="K7" s="16">
        <f t="shared" si="7"/>
        <v>1.25</v>
      </c>
      <c r="L7" s="16">
        <f t="shared" si="0"/>
        <v>25</v>
      </c>
      <c r="M7" s="34">
        <f t="shared" si="6"/>
        <v>50</v>
      </c>
      <c r="N7" s="21">
        <f t="shared" si="1"/>
        <v>2.0848099961334787</v>
      </c>
      <c r="O7" s="46">
        <f t="shared" si="2"/>
        <v>160</v>
      </c>
      <c r="P7" s="21" t="s">
        <v>69</v>
      </c>
    </row>
    <row r="8" spans="1:16" x14ac:dyDescent="0.2">
      <c r="A8" s="9" t="s">
        <v>32</v>
      </c>
      <c r="B8" s="84"/>
      <c r="C8" s="84"/>
      <c r="E8" s="34">
        <v>80</v>
      </c>
      <c r="F8" s="14">
        <v>63</v>
      </c>
      <c r="G8" s="35">
        <v>160</v>
      </c>
      <c r="H8" s="35">
        <f t="shared" si="8"/>
        <v>0.39374999999999999</v>
      </c>
      <c r="I8" s="35">
        <f t="shared" si="9"/>
        <v>0.63</v>
      </c>
      <c r="J8" s="35">
        <f t="shared" si="10"/>
        <v>78.75</v>
      </c>
      <c r="K8" s="16">
        <f t="shared" si="7"/>
        <v>3.15</v>
      </c>
      <c r="L8" s="16">
        <f t="shared" si="0"/>
        <v>63</v>
      </c>
      <c r="M8" s="34">
        <f t="shared" si="6"/>
        <v>80</v>
      </c>
      <c r="N8" s="21">
        <f t="shared" si="1"/>
        <v>0.81437890473964014</v>
      </c>
      <c r="O8" s="46">
        <f>IF(M8="","",G8)</f>
        <v>160</v>
      </c>
      <c r="P8" s="21" t="s">
        <v>69</v>
      </c>
    </row>
    <row r="9" spans="1:16" x14ac:dyDescent="0.2">
      <c r="A9" s="9" t="s">
        <v>33</v>
      </c>
      <c r="B9" s="84"/>
      <c r="C9" s="84"/>
      <c r="E9" s="34">
        <v>100</v>
      </c>
      <c r="F9" s="14">
        <v>100</v>
      </c>
      <c r="G9" s="35">
        <v>160</v>
      </c>
      <c r="H9" s="35">
        <f t="shared" si="8"/>
        <v>0.625</v>
      </c>
      <c r="I9" s="35">
        <f t="shared" si="9"/>
        <v>1</v>
      </c>
      <c r="J9" s="35">
        <f t="shared" si="10"/>
        <v>125</v>
      </c>
      <c r="K9" s="16">
        <f t="shared" si="7"/>
        <v>5</v>
      </c>
      <c r="L9" s="16">
        <f t="shared" si="0"/>
        <v>100</v>
      </c>
      <c r="M9" s="34">
        <f t="shared" si="6"/>
        <v>100</v>
      </c>
      <c r="N9" s="21">
        <f t="shared" si="1"/>
        <v>0.52120249903336968</v>
      </c>
      <c r="O9" s="46">
        <f t="shared" ref="O9:O10" si="11">IF(M9="","",G9)</f>
        <v>160</v>
      </c>
      <c r="P9" s="21" t="s">
        <v>69</v>
      </c>
    </row>
    <row r="10" spans="1:16" x14ac:dyDescent="0.2">
      <c r="A10" s="9" t="s">
        <v>34</v>
      </c>
      <c r="B10" s="110"/>
      <c r="C10" s="110"/>
      <c r="E10" s="34">
        <v>150</v>
      </c>
      <c r="F10" s="14">
        <v>160</v>
      </c>
      <c r="G10" s="35">
        <v>160</v>
      </c>
      <c r="H10" s="35">
        <f t="shared" si="8"/>
        <v>1</v>
      </c>
      <c r="I10" s="35">
        <f t="shared" si="9"/>
        <v>1.6</v>
      </c>
      <c r="J10" s="35">
        <f t="shared" si="10"/>
        <v>200</v>
      </c>
      <c r="K10" s="16">
        <f t="shared" si="7"/>
        <v>8</v>
      </c>
      <c r="L10" s="16">
        <f t="shared" si="0"/>
        <v>160</v>
      </c>
      <c r="M10" s="34">
        <f t="shared" si="6"/>
        <v>150</v>
      </c>
      <c r="N10" s="21">
        <f t="shared" si="1"/>
        <v>0.23164555512594209</v>
      </c>
      <c r="O10" s="46">
        <f t="shared" si="11"/>
        <v>160</v>
      </c>
      <c r="P10" s="21" t="s">
        <v>69</v>
      </c>
    </row>
    <row r="11" spans="1:16" x14ac:dyDescent="0.2">
      <c r="E11" s="38"/>
      <c r="F11" s="39"/>
      <c r="G11" s="40"/>
      <c r="H11" s="41"/>
      <c r="I11" s="41"/>
      <c r="J11" s="41"/>
      <c r="K11" s="41"/>
      <c r="L11" s="47" t="s">
        <v>38</v>
      </c>
      <c r="M11" s="48">
        <f>MIN(M3:M10)</f>
        <v>40</v>
      </c>
      <c r="N11" s="49">
        <f>VLOOKUP(M11,M3:N10,2,0)</f>
        <v>3.2575156189585606</v>
      </c>
      <c r="O11" s="50">
        <f>VLOOKUP(M11,M3:O10,3,0)</f>
        <v>160</v>
      </c>
      <c r="P11" s="49" t="str">
        <f>VLOOKUP(M11,M3:P10,4,0)</f>
        <v>Mecánico</v>
      </c>
    </row>
    <row r="12" spans="1:16" x14ac:dyDescent="0.2">
      <c r="A12" s="1" t="s">
        <v>43</v>
      </c>
      <c r="E12" s="51"/>
      <c r="F12" s="52"/>
      <c r="G12" s="53"/>
      <c r="H12" s="54"/>
      <c r="I12" s="54"/>
      <c r="J12" s="54"/>
      <c r="K12" s="54"/>
      <c r="L12" s="42"/>
      <c r="M12" s="42"/>
      <c r="N12" s="38"/>
      <c r="O12" s="43"/>
      <c r="P12" s="45"/>
    </row>
    <row r="13" spans="1:16" x14ac:dyDescent="0.2">
      <c r="A13" s="4" t="s">
        <v>83</v>
      </c>
      <c r="B13" s="88" t="s">
        <v>75</v>
      </c>
      <c r="C13" s="88"/>
      <c r="E13" s="90" t="s">
        <v>97</v>
      </c>
      <c r="F13" s="91"/>
      <c r="G13" s="91"/>
      <c r="H13" s="91"/>
      <c r="I13" s="91"/>
      <c r="J13" s="92"/>
      <c r="K13" s="55" t="s">
        <v>24</v>
      </c>
      <c r="L13" s="55"/>
      <c r="M13" s="56" t="s">
        <v>35</v>
      </c>
      <c r="N13" s="57" t="s">
        <v>52</v>
      </c>
      <c r="O13" s="56" t="s">
        <v>30</v>
      </c>
      <c r="P13" s="56" t="s">
        <v>77</v>
      </c>
    </row>
    <row r="14" spans="1:16" x14ac:dyDescent="0.2">
      <c r="A14" s="4" t="s">
        <v>74</v>
      </c>
      <c r="B14" s="101">
        <v>3</v>
      </c>
      <c r="C14" s="101"/>
      <c r="E14" s="20" t="s">
        <v>25</v>
      </c>
      <c r="F14" s="20" t="s">
        <v>26</v>
      </c>
      <c r="G14" s="20" t="s">
        <v>30</v>
      </c>
      <c r="H14" s="20" t="s">
        <v>27</v>
      </c>
      <c r="I14" s="20" t="s">
        <v>28</v>
      </c>
      <c r="J14" s="20" t="s">
        <v>29</v>
      </c>
      <c r="K14" s="20" t="s">
        <v>36</v>
      </c>
      <c r="L14" s="20" t="s">
        <v>37</v>
      </c>
      <c r="M14" s="20"/>
      <c r="N14" s="20"/>
      <c r="O14" s="20"/>
      <c r="P14" s="20"/>
    </row>
    <row r="15" spans="1:16" s="8" customFormat="1" x14ac:dyDescent="0.2">
      <c r="A15" s="4" t="s">
        <v>45</v>
      </c>
      <c r="B15" s="101">
        <v>392</v>
      </c>
      <c r="C15" s="101"/>
      <c r="E15" s="36">
        <v>25</v>
      </c>
      <c r="F15" s="14">
        <v>6.3</v>
      </c>
      <c r="G15" s="58">
        <v>500</v>
      </c>
      <c r="H15" s="37">
        <f t="shared" ref="H15:H16" si="12">+F15/G15</f>
        <v>1.26E-2</v>
      </c>
      <c r="I15" s="37">
        <f t="shared" ref="I15:I16" si="13">H15*1.6</f>
        <v>2.0160000000000001E-2</v>
      </c>
      <c r="J15" s="37">
        <f t="shared" ref="J15:J16" si="14">+F15*1.25</f>
        <v>7.875</v>
      </c>
      <c r="K15" s="16">
        <f t="shared" ref="K15:K16" si="15">+I15*5</f>
        <v>0.1008</v>
      </c>
      <c r="L15" s="16">
        <f t="shared" ref="L15:L16" si="16">+F15</f>
        <v>6.3</v>
      </c>
      <c r="M15" s="36" t="str">
        <f>IF(AND($B$23&gt;K15,$B$23&lt;L15),E15,"")</f>
        <v/>
      </c>
      <c r="N15" s="21" t="str">
        <f t="shared" ref="N15:N20" si="17">IF(M15="","",($B$23/3600)/((E15/2000)^2*PI()))</f>
        <v/>
      </c>
      <c r="O15" s="46" t="str">
        <f t="shared" ref="O15:O17" si="18">IF(M15="","",G15)</f>
        <v/>
      </c>
      <c r="P15" s="21" t="s">
        <v>96</v>
      </c>
    </row>
    <row r="16" spans="1:16" s="8" customFormat="1" x14ac:dyDescent="0.2">
      <c r="A16" s="4" t="s">
        <v>72</v>
      </c>
      <c r="B16" s="100">
        <f>IF(B13="Residencial",VLOOKUP(B14,$M$25:$N$30,2,0),"")</f>
        <v>11.27805113109404</v>
      </c>
      <c r="C16" s="100"/>
      <c r="E16" s="36">
        <v>40</v>
      </c>
      <c r="F16" s="14">
        <v>10</v>
      </c>
      <c r="G16" s="79">
        <v>500</v>
      </c>
      <c r="H16" s="37">
        <f t="shared" si="12"/>
        <v>0.02</v>
      </c>
      <c r="I16" s="37">
        <f t="shared" si="13"/>
        <v>3.2000000000000001E-2</v>
      </c>
      <c r="J16" s="37">
        <f t="shared" si="14"/>
        <v>12.5</v>
      </c>
      <c r="K16" s="16">
        <f t="shared" si="15"/>
        <v>0.16</v>
      </c>
      <c r="L16" s="16">
        <f t="shared" si="16"/>
        <v>10</v>
      </c>
      <c r="M16" s="36" t="str">
        <f t="shared" ref="M16:M20" si="19">IF(AND($B$23&gt;K16,$B$23&lt;L16),E16,"")</f>
        <v/>
      </c>
      <c r="N16" s="21" t="str">
        <f t="shared" si="17"/>
        <v/>
      </c>
      <c r="O16" s="46" t="str">
        <f t="shared" si="18"/>
        <v/>
      </c>
      <c r="P16" s="21" t="s">
        <v>96</v>
      </c>
    </row>
    <row r="17" spans="1:16" s="8" customFormat="1" x14ac:dyDescent="0.2">
      <c r="A17" s="4" t="s">
        <v>84</v>
      </c>
      <c r="B17" s="106">
        <f>IF(B13="Residencial",B15*B16/30,B15/30)</f>
        <v>147.36653477962878</v>
      </c>
      <c r="C17" s="107"/>
      <c r="E17" s="36">
        <v>50</v>
      </c>
      <c r="F17" s="14">
        <v>25</v>
      </c>
      <c r="G17" s="79">
        <v>500</v>
      </c>
      <c r="H17" s="37">
        <f>+F17/G17</f>
        <v>0.05</v>
      </c>
      <c r="I17" s="37">
        <f t="shared" ref="I17:I20" si="20">H17*1.6</f>
        <v>8.0000000000000016E-2</v>
      </c>
      <c r="J17" s="37">
        <f t="shared" ref="J17:J20" si="21">+F17*1.25</f>
        <v>31.25</v>
      </c>
      <c r="K17" s="16">
        <f t="shared" ref="K17:K20" si="22">+I17*5</f>
        <v>0.40000000000000008</v>
      </c>
      <c r="L17" s="16">
        <f t="shared" ref="L17:L20" si="23">+F17</f>
        <v>25</v>
      </c>
      <c r="M17" s="36">
        <f t="shared" si="19"/>
        <v>50</v>
      </c>
      <c r="N17" s="21">
        <f t="shared" si="17"/>
        <v>2.0848099961334787</v>
      </c>
      <c r="O17" s="46">
        <f t="shared" si="18"/>
        <v>500</v>
      </c>
      <c r="P17" s="21" t="s">
        <v>96</v>
      </c>
    </row>
    <row r="18" spans="1:16" s="8" customFormat="1" x14ac:dyDescent="0.2">
      <c r="A18" s="4" t="s">
        <v>46</v>
      </c>
      <c r="B18" s="108">
        <f>+B17</f>
        <v>147.36653477962878</v>
      </c>
      <c r="C18" s="109"/>
      <c r="E18" s="36">
        <v>80</v>
      </c>
      <c r="F18" s="14">
        <v>63</v>
      </c>
      <c r="G18" s="79">
        <v>500</v>
      </c>
      <c r="H18" s="37">
        <f t="shared" ref="H18:H20" si="24">+F18/G18</f>
        <v>0.126</v>
      </c>
      <c r="I18" s="37">
        <f t="shared" si="20"/>
        <v>0.2016</v>
      </c>
      <c r="J18" s="37">
        <f t="shared" si="21"/>
        <v>78.75</v>
      </c>
      <c r="K18" s="16">
        <f t="shared" si="22"/>
        <v>1.008</v>
      </c>
      <c r="L18" s="16">
        <f t="shared" si="23"/>
        <v>63</v>
      </c>
      <c r="M18" s="36">
        <f t="shared" si="19"/>
        <v>80</v>
      </c>
      <c r="N18" s="21">
        <f t="shared" si="17"/>
        <v>0.81437890473964014</v>
      </c>
      <c r="O18" s="46">
        <f>IF(M18="","",G18)</f>
        <v>500</v>
      </c>
      <c r="P18" s="21" t="s">
        <v>96</v>
      </c>
    </row>
    <row r="19" spans="1:16" s="8" customFormat="1" x14ac:dyDescent="0.2">
      <c r="A19" s="4" t="s">
        <v>82</v>
      </c>
      <c r="B19" s="103">
        <f>B18*30</f>
        <v>4420.9960433888637</v>
      </c>
      <c r="C19" s="104"/>
      <c r="E19" s="36">
        <v>100</v>
      </c>
      <c r="F19" s="14">
        <v>100</v>
      </c>
      <c r="G19" s="79">
        <v>500</v>
      </c>
      <c r="H19" s="37">
        <f t="shared" si="24"/>
        <v>0.2</v>
      </c>
      <c r="I19" s="37">
        <f t="shared" si="20"/>
        <v>0.32000000000000006</v>
      </c>
      <c r="J19" s="37">
        <f t="shared" si="21"/>
        <v>125</v>
      </c>
      <c r="K19" s="16">
        <f t="shared" si="22"/>
        <v>1.6000000000000003</v>
      </c>
      <c r="L19" s="16">
        <f t="shared" si="23"/>
        <v>100</v>
      </c>
      <c r="M19" s="36">
        <f t="shared" si="19"/>
        <v>100</v>
      </c>
      <c r="N19" s="21">
        <f t="shared" si="17"/>
        <v>0.52120249903336968</v>
      </c>
      <c r="O19" s="46">
        <f t="shared" ref="O19:O20" si="25">IF(M19="","",G19)</f>
        <v>500</v>
      </c>
      <c r="P19" s="21" t="s">
        <v>96</v>
      </c>
    </row>
    <row r="20" spans="1:16" s="8" customFormat="1" x14ac:dyDescent="0.2">
      <c r="A20" s="1"/>
      <c r="B20" s="1"/>
      <c r="E20" s="36">
        <v>150</v>
      </c>
      <c r="F20" s="14">
        <v>250</v>
      </c>
      <c r="G20" s="79">
        <v>500</v>
      </c>
      <c r="H20" s="37">
        <f t="shared" si="24"/>
        <v>0.5</v>
      </c>
      <c r="I20" s="37">
        <f t="shared" si="20"/>
        <v>0.8</v>
      </c>
      <c r="J20" s="37">
        <f t="shared" si="21"/>
        <v>312.5</v>
      </c>
      <c r="K20" s="16">
        <f t="shared" si="22"/>
        <v>4</v>
      </c>
      <c r="L20" s="16">
        <f t="shared" si="23"/>
        <v>250</v>
      </c>
      <c r="M20" s="36">
        <f t="shared" si="19"/>
        <v>150</v>
      </c>
      <c r="N20" s="21">
        <f t="shared" si="17"/>
        <v>0.23164555512594209</v>
      </c>
      <c r="O20" s="46">
        <f t="shared" si="25"/>
        <v>500</v>
      </c>
      <c r="P20" s="21" t="s">
        <v>96</v>
      </c>
    </row>
    <row r="21" spans="1:16" s="8" customFormat="1" x14ac:dyDescent="0.2">
      <c r="A21" s="1" t="s">
        <v>44</v>
      </c>
      <c r="B21" s="1"/>
      <c r="E21" s="38"/>
      <c r="F21" s="63"/>
      <c r="G21" s="40"/>
      <c r="H21" s="41"/>
      <c r="I21" s="41"/>
      <c r="J21" s="41"/>
      <c r="K21" s="41"/>
      <c r="L21" s="47" t="s">
        <v>38</v>
      </c>
      <c r="M21" s="48">
        <f>MIN(M15:M20)</f>
        <v>50</v>
      </c>
      <c r="N21" s="49">
        <f>VLOOKUP(M21,M15:N20,2,0)</f>
        <v>2.0848099961334787</v>
      </c>
      <c r="O21" s="50">
        <f>VLOOKUP(M21,M15:O20,3,0)</f>
        <v>500</v>
      </c>
      <c r="P21" s="49" t="str">
        <f>VLOOKUP(M21,M15:P20,4,0)</f>
        <v>Ultrasónico</v>
      </c>
    </row>
    <row r="22" spans="1:16" s="8" customFormat="1" x14ac:dyDescent="0.2">
      <c r="A22" s="4" t="s">
        <v>47</v>
      </c>
      <c r="B22" s="98">
        <v>10</v>
      </c>
      <c r="C22" s="98"/>
    </row>
    <row r="23" spans="1:16" s="8" customFormat="1" x14ac:dyDescent="0.2">
      <c r="A23" s="5" t="s">
        <v>48</v>
      </c>
      <c r="B23" s="99">
        <f>+B18/B22</f>
        <v>14.736653477962879</v>
      </c>
      <c r="C23" s="99"/>
      <c r="E23" s="85" t="s">
        <v>40</v>
      </c>
      <c r="F23" s="85"/>
      <c r="G23" s="85"/>
      <c r="H23" s="85"/>
      <c r="I23" s="85"/>
      <c r="J23" s="85"/>
      <c r="K23" s="85"/>
      <c r="M23" s="85" t="s">
        <v>80</v>
      </c>
      <c r="N23" s="85"/>
    </row>
    <row r="24" spans="1:16" s="8" customFormat="1" x14ac:dyDescent="0.2">
      <c r="A24" s="6"/>
      <c r="B24" s="7"/>
      <c r="E24" s="20" t="s">
        <v>25</v>
      </c>
      <c r="F24" s="20" t="s">
        <v>39</v>
      </c>
      <c r="G24" s="20" t="s">
        <v>41</v>
      </c>
      <c r="H24" s="20" t="s">
        <v>42</v>
      </c>
      <c r="I24" s="20" t="s">
        <v>40</v>
      </c>
      <c r="J24" s="20" t="s">
        <v>52</v>
      </c>
      <c r="K24" s="20"/>
      <c r="M24" s="31" t="s">
        <v>73</v>
      </c>
      <c r="N24" s="32" t="s">
        <v>72</v>
      </c>
    </row>
    <row r="25" spans="1:16" s="8" customFormat="1" x14ac:dyDescent="0.2">
      <c r="A25" s="6" t="s">
        <v>98</v>
      </c>
      <c r="B25" s="7"/>
      <c r="E25" s="64">
        <v>20</v>
      </c>
      <c r="F25" s="69">
        <f>+E25-2.3*2</f>
        <v>15.4</v>
      </c>
      <c r="G25" s="71">
        <v>2</v>
      </c>
      <c r="H25" s="72">
        <f>PI()*(F25/2/1000)^2*G25*1000</f>
        <v>0.37253005686267771</v>
      </c>
      <c r="I25" s="64" t="str">
        <f>IF($B$23*1000/60/60&lt;=H25,E25,"")</f>
        <v/>
      </c>
      <c r="J25" s="70" t="str">
        <f t="shared" ref="J25:J33" si="26">IF(I25="","",($B$23/3600)/((F25/2000)^2*PI()))</f>
        <v/>
      </c>
      <c r="K25" s="72" t="s">
        <v>93</v>
      </c>
      <c r="M25" s="31">
        <v>1</v>
      </c>
      <c r="N25" s="33">
        <v>10.786618472869936</v>
      </c>
    </row>
    <row r="26" spans="1:16" s="8" customFormat="1" x14ac:dyDescent="0.2">
      <c r="A26" s="15" t="s">
        <v>78</v>
      </c>
      <c r="B26" s="93">
        <f>IF(AND(B19&gt;=10000,B13&lt;&gt;"Residencial"),"NA",M11)</f>
        <v>40</v>
      </c>
      <c r="C26" s="93"/>
      <c r="E26" s="64">
        <v>32</v>
      </c>
      <c r="F26" s="69">
        <v>26</v>
      </c>
      <c r="G26" s="71">
        <v>2</v>
      </c>
      <c r="H26" s="72">
        <f t="shared" ref="H26:H32" si="27">PI()*(F26/2/1000)^2*G26*1000</f>
        <v>1.06185831691335</v>
      </c>
      <c r="I26" s="64" t="str">
        <f t="shared" ref="I26:I33" si="28">IF($B$23*1000/60/60&lt;=H26,E26,"")</f>
        <v/>
      </c>
      <c r="J26" s="70" t="str">
        <f t="shared" si="26"/>
        <v/>
      </c>
      <c r="K26" s="74" t="s">
        <v>94</v>
      </c>
      <c r="M26" s="31">
        <v>2</v>
      </c>
      <c r="N26" s="33">
        <v>11.689660882078087</v>
      </c>
    </row>
    <row r="27" spans="1:16" s="8" customFormat="1" x14ac:dyDescent="0.2">
      <c r="A27" s="15" t="s">
        <v>50</v>
      </c>
      <c r="B27" s="89">
        <f>IF(AND(B19&gt;=10000,B13&lt;&gt;"Residencial"),"NA",O11)</f>
        <v>160</v>
      </c>
      <c r="C27" s="89"/>
      <c r="E27" s="64">
        <v>40</v>
      </c>
      <c r="F27" s="69">
        <v>32.6</v>
      </c>
      <c r="G27" s="71">
        <v>2</v>
      </c>
      <c r="H27" s="72">
        <f t="shared" si="27"/>
        <v>1.6693795042645447</v>
      </c>
      <c r="I27" s="64" t="str">
        <f t="shared" si="28"/>
        <v/>
      </c>
      <c r="J27" s="70" t="str">
        <f t="shared" si="26"/>
        <v/>
      </c>
      <c r="K27" s="74" t="s">
        <v>94</v>
      </c>
      <c r="M27" s="31">
        <v>3</v>
      </c>
      <c r="N27" s="33">
        <v>11.27805113109404</v>
      </c>
    </row>
    <row r="28" spans="1:16" s="8" customFormat="1" x14ac:dyDescent="0.2">
      <c r="A28" s="15" t="s">
        <v>53</v>
      </c>
      <c r="B28" s="94">
        <f>IF(AND(B19&gt;=10000,B13&lt;&gt;"Residencial"),"NA",N11)</f>
        <v>3.2575156189585606</v>
      </c>
      <c r="C28" s="95"/>
      <c r="E28" s="68">
        <v>63</v>
      </c>
      <c r="F28" s="66">
        <v>51.4</v>
      </c>
      <c r="G28" s="73">
        <v>2</v>
      </c>
      <c r="H28" s="74">
        <f t="shared" si="27"/>
        <v>4.1499810635390455</v>
      </c>
      <c r="I28" s="64">
        <f t="shared" si="28"/>
        <v>63</v>
      </c>
      <c r="J28" s="70">
        <f t="shared" si="26"/>
        <v>1.9727872452019322</v>
      </c>
      <c r="K28" s="74" t="s">
        <v>94</v>
      </c>
      <c r="M28" s="31">
        <v>4</v>
      </c>
      <c r="N28" s="33">
        <v>11.213117476227731</v>
      </c>
    </row>
    <row r="29" spans="1:16" s="8" customFormat="1" x14ac:dyDescent="0.2">
      <c r="E29" s="68">
        <v>90</v>
      </c>
      <c r="F29" s="66">
        <v>73.599999999999994</v>
      </c>
      <c r="G29" s="73">
        <v>2.5</v>
      </c>
      <c r="H29" s="74">
        <f t="shared" si="27"/>
        <v>10.636176087993602</v>
      </c>
      <c r="I29" s="64">
        <f t="shared" si="28"/>
        <v>90</v>
      </c>
      <c r="J29" s="70">
        <f t="shared" si="26"/>
        <v>0.96216789312339346</v>
      </c>
      <c r="K29" s="74" t="s">
        <v>94</v>
      </c>
      <c r="M29" s="31">
        <v>5</v>
      </c>
      <c r="N29" s="33">
        <v>11.718083308079576</v>
      </c>
    </row>
    <row r="30" spans="1:16" s="8" customFormat="1" x14ac:dyDescent="0.2">
      <c r="A30" s="6" t="s">
        <v>100</v>
      </c>
      <c r="B30" s="7"/>
      <c r="E30" s="68">
        <v>125</v>
      </c>
      <c r="F30" s="66">
        <v>102.3</v>
      </c>
      <c r="G30" s="73">
        <v>2.5</v>
      </c>
      <c r="H30" s="74">
        <f t="shared" si="27"/>
        <v>20.548548863554206</v>
      </c>
      <c r="I30" s="64">
        <f t="shared" si="28"/>
        <v>125</v>
      </c>
      <c r="J30" s="70">
        <f t="shared" si="26"/>
        <v>0.49802967622815009</v>
      </c>
      <c r="K30" s="74" t="s">
        <v>94</v>
      </c>
      <c r="M30" s="31">
        <v>6</v>
      </c>
      <c r="N30" s="33">
        <v>14.263662399503399</v>
      </c>
    </row>
    <row r="31" spans="1:16" s="8" customFormat="1" x14ac:dyDescent="0.2">
      <c r="A31" s="15" t="s">
        <v>78</v>
      </c>
      <c r="B31" s="86">
        <f>IF(M21=0,"NA",M21)</f>
        <v>50</v>
      </c>
      <c r="C31" s="87"/>
      <c r="E31" s="68">
        <v>180</v>
      </c>
      <c r="F31" s="66">
        <v>147.30000000000001</v>
      </c>
      <c r="G31" s="73">
        <v>2.5</v>
      </c>
      <c r="H31" s="74">
        <f t="shared" si="27"/>
        <v>42.602529291754564</v>
      </c>
      <c r="I31" s="64">
        <f t="shared" si="28"/>
        <v>180</v>
      </c>
      <c r="J31" s="70">
        <f t="shared" si="26"/>
        <v>0.24021548268625695</v>
      </c>
      <c r="K31" s="74" t="s">
        <v>94</v>
      </c>
    </row>
    <row r="32" spans="1:16" s="8" customFormat="1" x14ac:dyDescent="0.2">
      <c r="A32" s="15" t="s">
        <v>50</v>
      </c>
      <c r="B32" s="96">
        <f>IFERROR(O21,"NA")</f>
        <v>500</v>
      </c>
      <c r="C32" s="97"/>
      <c r="E32" s="68">
        <v>250</v>
      </c>
      <c r="F32" s="66">
        <v>204.5</v>
      </c>
      <c r="G32" s="73">
        <v>2.5</v>
      </c>
      <c r="H32" s="74">
        <f t="shared" si="27"/>
        <v>82.113868857055323</v>
      </c>
      <c r="I32" s="64">
        <f t="shared" si="28"/>
        <v>250</v>
      </c>
      <c r="J32" s="70">
        <f t="shared" si="26"/>
        <v>0.12462921647607793</v>
      </c>
      <c r="K32" s="74" t="s">
        <v>94</v>
      </c>
    </row>
    <row r="33" spans="1:16" s="8" customFormat="1" x14ac:dyDescent="0.2">
      <c r="A33" s="15" t="s">
        <v>53</v>
      </c>
      <c r="B33" s="94">
        <f>IFERROR(N21,"NA")</f>
        <v>2.0848099961334787</v>
      </c>
      <c r="C33" s="95"/>
      <c r="E33" s="68">
        <v>315</v>
      </c>
      <c r="F33" s="66">
        <v>257.7</v>
      </c>
      <c r="G33" s="73">
        <v>2.5</v>
      </c>
      <c r="H33" s="74">
        <f t="shared" ref="H33" si="29">PI()*(F33/2/1000)^2*G33*1000</f>
        <v>130.39433599632133</v>
      </c>
      <c r="I33" s="64">
        <f t="shared" si="28"/>
        <v>315</v>
      </c>
      <c r="J33" s="70">
        <f t="shared" si="26"/>
        <v>7.8483371683896894E-2</v>
      </c>
      <c r="K33" s="74" t="s">
        <v>94</v>
      </c>
      <c r="L33" s="1"/>
      <c r="M33" s="1"/>
    </row>
    <row r="34" spans="1:16" s="8" customFormat="1" x14ac:dyDescent="0.2">
      <c r="H34" s="67" t="s">
        <v>38</v>
      </c>
      <c r="I34" s="68">
        <f>MIN(I25:I33)</f>
        <v>63</v>
      </c>
      <c r="J34" s="49">
        <f>VLOOKUP(I34,I25:J33,2,0)</f>
        <v>1.9727872452019322</v>
      </c>
      <c r="K34" s="67" t="str">
        <f>VLOOKUP(I34,I25:K33,3,0)</f>
        <v>PE100 PN16</v>
      </c>
      <c r="L34" s="1"/>
      <c r="M34" s="1"/>
      <c r="N34" s="1"/>
      <c r="O34" s="1"/>
    </row>
    <row r="35" spans="1:16" s="8" customFormat="1" x14ac:dyDescent="0.2">
      <c r="A35" s="6" t="s">
        <v>99</v>
      </c>
      <c r="B35" s="7"/>
      <c r="M35" s="1"/>
      <c r="N35" s="1"/>
      <c r="O35" s="1"/>
      <c r="P35" s="1"/>
    </row>
    <row r="36" spans="1:16" s="8" customFormat="1" x14ac:dyDescent="0.2">
      <c r="A36" s="5" t="s">
        <v>51</v>
      </c>
      <c r="B36" s="86" t="str">
        <f>CONCATENATE(I34," mm ",K34)</f>
        <v>63 mm PE100 PN16</v>
      </c>
      <c r="C36" s="87"/>
      <c r="M36" s="1"/>
      <c r="N36" s="1"/>
      <c r="O36" s="1"/>
      <c r="P36" s="1"/>
    </row>
    <row r="37" spans="1:16" x14ac:dyDescent="0.2">
      <c r="A37" s="15" t="s">
        <v>76</v>
      </c>
      <c r="B37" s="94">
        <f>J34</f>
        <v>1.9727872452019322</v>
      </c>
      <c r="C37" s="95"/>
      <c r="E37" s="8"/>
      <c r="H37" s="8"/>
      <c r="I37" s="8"/>
      <c r="J37" s="8"/>
      <c r="K37" s="8"/>
      <c r="L37" s="8"/>
    </row>
    <row r="38" spans="1:16" x14ac:dyDescent="0.2">
      <c r="A38" s="8"/>
      <c r="B38" s="8"/>
      <c r="C38" s="8"/>
      <c r="E38" s="8"/>
      <c r="H38" s="8"/>
      <c r="I38" s="8"/>
      <c r="J38" s="8"/>
      <c r="K38" s="8"/>
      <c r="L38" s="8"/>
    </row>
    <row r="39" spans="1:16" x14ac:dyDescent="0.2">
      <c r="A39" s="8"/>
      <c r="B39" s="8"/>
      <c r="C39" s="8"/>
      <c r="E39" s="8"/>
      <c r="H39" s="8"/>
      <c r="I39" s="8"/>
      <c r="J39" s="8"/>
      <c r="K39" s="8"/>
      <c r="L39" s="8"/>
    </row>
    <row r="40" spans="1:16" x14ac:dyDescent="0.2">
      <c r="A40" s="8"/>
      <c r="B40" s="8"/>
      <c r="C40" s="8"/>
      <c r="E40" s="17" t="s">
        <v>79</v>
      </c>
      <c r="H40" s="8"/>
      <c r="I40" s="8"/>
      <c r="J40" s="8"/>
      <c r="K40" s="8"/>
      <c r="L40" s="8"/>
    </row>
    <row r="41" spans="1:16" x14ac:dyDescent="0.2">
      <c r="A41" s="28"/>
      <c r="B41" s="7"/>
      <c r="C41" s="8"/>
      <c r="E41" s="17" t="s">
        <v>71</v>
      </c>
      <c r="H41" s="8"/>
      <c r="I41" s="8"/>
      <c r="J41" s="8"/>
      <c r="K41" s="8"/>
      <c r="L41" s="8"/>
    </row>
    <row r="42" spans="1:16" ht="36" customHeight="1" x14ac:dyDescent="0.2">
      <c r="A42" s="1" t="s">
        <v>64</v>
      </c>
      <c r="B42" s="7"/>
      <c r="C42" s="8"/>
      <c r="E42" s="83" t="s">
        <v>92</v>
      </c>
      <c r="F42" s="83"/>
      <c r="G42" s="83"/>
      <c r="H42" s="83"/>
      <c r="I42" s="83"/>
      <c r="J42" s="83"/>
      <c r="K42" s="83"/>
      <c r="L42" s="8"/>
    </row>
    <row r="43" spans="1:16" x14ac:dyDescent="0.2">
      <c r="A43" s="8"/>
      <c r="B43" s="44"/>
      <c r="C43" s="44"/>
      <c r="L43" s="8"/>
    </row>
    <row r="44" spans="1:16" x14ac:dyDescent="0.2">
      <c r="A44" s="8"/>
      <c r="B44" s="8"/>
      <c r="C44" s="8"/>
    </row>
    <row r="45" spans="1:16" x14ac:dyDescent="0.2">
      <c r="A45" s="8"/>
      <c r="B45" s="8"/>
      <c r="C45" s="8"/>
    </row>
    <row r="46" spans="1:16" x14ac:dyDescent="0.2">
      <c r="A46" s="8"/>
      <c r="B46" s="8"/>
      <c r="C46" s="8"/>
    </row>
  </sheetData>
  <mergeCells count="28">
    <mergeCell ref="B23:C23"/>
    <mergeCell ref="B16:C16"/>
    <mergeCell ref="B15:C15"/>
    <mergeCell ref="E1:J1"/>
    <mergeCell ref="A2:B2"/>
    <mergeCell ref="A1:B1"/>
    <mergeCell ref="B14:C14"/>
    <mergeCell ref="B19:C19"/>
    <mergeCell ref="A4:C5"/>
    <mergeCell ref="B17:C17"/>
    <mergeCell ref="B18:C18"/>
    <mergeCell ref="B10:C10"/>
    <mergeCell ref="E42:K42"/>
    <mergeCell ref="B9:C9"/>
    <mergeCell ref="B8:C8"/>
    <mergeCell ref="M23:N23"/>
    <mergeCell ref="B36:C36"/>
    <mergeCell ref="B13:C13"/>
    <mergeCell ref="B27:C27"/>
    <mergeCell ref="E13:J13"/>
    <mergeCell ref="B26:C26"/>
    <mergeCell ref="E23:K23"/>
    <mergeCell ref="B28:C28"/>
    <mergeCell ref="B32:C32"/>
    <mergeCell ref="B33:C33"/>
    <mergeCell ref="B37:C37"/>
    <mergeCell ref="B31:C31"/>
    <mergeCell ref="B22:C22"/>
  </mergeCells>
  <conditionalFormatting sqref="B14:C14">
    <cfRule type="expression" dxfId="4" priority="3">
      <formula>$B$16=""</formula>
    </cfRule>
  </conditionalFormatting>
  <conditionalFormatting sqref="B15:C15">
    <cfRule type="expression" dxfId="3" priority="2">
      <formula>$B$16=""</formula>
    </cfRule>
  </conditionalFormatting>
  <conditionalFormatting sqref="A14:A16">
    <cfRule type="expression" dxfId="2" priority="1">
      <formula>$B$16=""</formula>
    </cfRule>
  </conditionalFormatting>
  <dataValidations count="2">
    <dataValidation type="list" allowBlank="1" showInputMessage="1" showErrorMessage="1" sqref="B14:C14" xr:uid="{00000000-0002-0000-0000-000000000000}">
      <formula1>"1,2,3,4,5,6"</formula1>
    </dataValidation>
    <dataValidation type="list" allowBlank="1" showInputMessage="1" showErrorMessage="1" errorTitle="Tipo de proyecto" error="Seleccionar entre Residencial y No residencial o mixto." promptTitle="Tipo de proyecto" sqref="B13:C13" xr:uid="{00000000-0002-0000-0000-000001000000}">
      <formula1>"Residencial, No residencial o mixto"</formula1>
    </dataValidation>
  </dataValidations>
  <printOptions horizontalCentered="1"/>
  <pageMargins left="1.1811023622047245" right="1.1811023622047245" top="1.1811023622047245" bottom="1.1811023622047245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75"/>
  <sheetViews>
    <sheetView view="pageBreakPreview" topLeftCell="I1" zoomScale="130" zoomScaleNormal="130" zoomScaleSheetLayoutView="130" workbookViewId="0">
      <selection activeCell="Q31" sqref="Q31"/>
    </sheetView>
  </sheetViews>
  <sheetFormatPr baseColWidth="10" defaultRowHeight="12.75" x14ac:dyDescent="0.2"/>
  <cols>
    <col min="1" max="1" width="42" style="1" customWidth="1"/>
    <col min="2" max="2" width="16.5703125" style="1" bestFit="1" customWidth="1"/>
    <col min="3" max="3" width="10.85546875" style="1" bestFit="1" customWidth="1"/>
    <col min="4" max="5" width="11.42578125" style="1"/>
    <col min="6" max="6" width="8.28515625" style="1" customWidth="1"/>
    <col min="7" max="7" width="16.7109375" style="1" customWidth="1"/>
    <col min="8" max="8" width="21.140625" style="1" customWidth="1"/>
    <col min="9" max="9" width="17.7109375" style="1" bestFit="1" customWidth="1"/>
    <col min="10" max="10" width="14.42578125" style="1" bestFit="1" customWidth="1"/>
    <col min="11" max="11" width="9.28515625" style="1" customWidth="1"/>
    <col min="12" max="12" width="10.42578125" style="1" bestFit="1" customWidth="1"/>
    <col min="13" max="13" width="10.140625" style="1" bestFit="1" customWidth="1"/>
    <col min="14" max="14" width="20" style="1" customWidth="1"/>
    <col min="15" max="15" width="14.5703125" style="1" bestFit="1" customWidth="1"/>
    <col min="16" max="16" width="4" style="1" customWidth="1"/>
    <col min="17" max="17" width="14.5703125" style="1" bestFit="1" customWidth="1"/>
    <col min="18" max="16384" width="11.42578125" style="1"/>
  </cols>
  <sheetData>
    <row r="1" spans="1:17" ht="12.75" customHeight="1" x14ac:dyDescent="0.2">
      <c r="A1" s="102" t="s">
        <v>22</v>
      </c>
      <c r="B1" s="102"/>
      <c r="C1" s="2"/>
      <c r="D1" s="3"/>
      <c r="E1" s="3"/>
      <c r="F1" s="90" t="s">
        <v>81</v>
      </c>
      <c r="G1" s="91"/>
      <c r="H1" s="91"/>
      <c r="I1" s="91"/>
      <c r="J1" s="91"/>
      <c r="K1" s="92"/>
      <c r="L1" s="81" t="s">
        <v>24</v>
      </c>
      <c r="M1" s="81"/>
      <c r="N1" s="78" t="s">
        <v>35</v>
      </c>
      <c r="O1" s="78" t="s">
        <v>52</v>
      </c>
      <c r="P1" s="78" t="s">
        <v>30</v>
      </c>
      <c r="Q1" s="78" t="s">
        <v>77</v>
      </c>
    </row>
    <row r="2" spans="1:17" ht="26.25" customHeight="1" x14ac:dyDescent="0.2">
      <c r="A2" s="102" t="s">
        <v>65</v>
      </c>
      <c r="B2" s="102"/>
      <c r="C2" s="102"/>
      <c r="D2" s="3"/>
      <c r="E2" s="3"/>
      <c r="F2" s="20" t="s">
        <v>25</v>
      </c>
      <c r="G2" s="20" t="s">
        <v>26</v>
      </c>
      <c r="H2" s="20" t="s">
        <v>30</v>
      </c>
      <c r="I2" s="20" t="s">
        <v>27</v>
      </c>
      <c r="J2" s="20" t="s">
        <v>28</v>
      </c>
      <c r="K2" s="20" t="s">
        <v>29</v>
      </c>
      <c r="L2" s="20" t="s">
        <v>36</v>
      </c>
      <c r="M2" s="20" t="s">
        <v>37</v>
      </c>
      <c r="N2" s="20"/>
      <c r="O2" s="20"/>
      <c r="P2" s="20"/>
      <c r="Q2" s="20"/>
    </row>
    <row r="3" spans="1:17" x14ac:dyDescent="0.2">
      <c r="A3" s="59"/>
      <c r="B3" s="59"/>
      <c r="C3" s="2"/>
      <c r="F3" s="80">
        <v>15</v>
      </c>
      <c r="G3" s="79">
        <v>2.5</v>
      </c>
      <c r="H3" s="79">
        <v>160</v>
      </c>
      <c r="I3" s="79">
        <f>+G3/H3</f>
        <v>1.5625E-2</v>
      </c>
      <c r="J3" s="79">
        <f>I3*1.6</f>
        <v>2.5000000000000001E-2</v>
      </c>
      <c r="K3" s="79">
        <f>+G3*1.25</f>
        <v>3.125</v>
      </c>
      <c r="L3" s="16">
        <v>0</v>
      </c>
      <c r="M3" s="16">
        <f t="shared" ref="M3:M10" si="0">+G3</f>
        <v>2.5</v>
      </c>
      <c r="N3" s="80" t="str">
        <f>IF(AND($B$45&gt;L3,$B$45&lt;M3),F3,"")</f>
        <v/>
      </c>
      <c r="O3" s="21" t="str">
        <f>IF(N3="","",($B$45/3600)/((F3/2000)^2*PI()))</f>
        <v/>
      </c>
      <c r="P3" s="46" t="str">
        <f t="shared" ref="P3:P7" si="1">IF(N3="","",H3)</f>
        <v/>
      </c>
      <c r="Q3" s="21" t="s">
        <v>69</v>
      </c>
    </row>
    <row r="4" spans="1:17" x14ac:dyDescent="0.2">
      <c r="A4" s="105" t="s">
        <v>70</v>
      </c>
      <c r="B4" s="105"/>
      <c r="C4" s="105"/>
      <c r="D4" s="105"/>
      <c r="F4" s="80">
        <v>20</v>
      </c>
      <c r="G4" s="79">
        <v>4</v>
      </c>
      <c r="H4" s="79">
        <v>160</v>
      </c>
      <c r="I4" s="79">
        <f t="shared" ref="I4:I10" si="2">+G4/H4</f>
        <v>2.5000000000000001E-2</v>
      </c>
      <c r="J4" s="79">
        <f t="shared" ref="J4:J10" si="3">I4*1.6</f>
        <v>4.0000000000000008E-2</v>
      </c>
      <c r="K4" s="79">
        <f t="shared" ref="K4:K10" si="4">+G4*1.25</f>
        <v>5</v>
      </c>
      <c r="L4" s="16">
        <f t="shared" ref="L4:L10" si="5">+J4*5</f>
        <v>0.20000000000000004</v>
      </c>
      <c r="M4" s="16">
        <f t="shared" si="0"/>
        <v>4</v>
      </c>
      <c r="N4" s="82" t="str">
        <f t="shared" ref="N4:N10" si="6">IF(AND($B$45&gt;L4,$B$45&lt;M4),F4,"")</f>
        <v/>
      </c>
      <c r="O4" s="21" t="str">
        <f t="shared" ref="O4:O5" si="7">IF(N4="","",($B$45/3600)/((F4/2000)^2*PI()))</f>
        <v/>
      </c>
      <c r="P4" s="46" t="str">
        <f t="shared" si="1"/>
        <v/>
      </c>
      <c r="Q4" s="21" t="s">
        <v>69</v>
      </c>
    </row>
    <row r="5" spans="1:17" x14ac:dyDescent="0.2">
      <c r="A5" s="105"/>
      <c r="B5" s="105"/>
      <c r="C5" s="105"/>
      <c r="D5" s="105"/>
      <c r="F5" s="80">
        <v>25</v>
      </c>
      <c r="G5" s="79">
        <v>6.3</v>
      </c>
      <c r="H5" s="79">
        <v>160</v>
      </c>
      <c r="I5" s="79">
        <f t="shared" si="2"/>
        <v>3.9375E-2</v>
      </c>
      <c r="J5" s="79">
        <f t="shared" si="3"/>
        <v>6.3E-2</v>
      </c>
      <c r="K5" s="79">
        <f t="shared" si="4"/>
        <v>7.875</v>
      </c>
      <c r="L5" s="16">
        <f t="shared" si="5"/>
        <v>0.315</v>
      </c>
      <c r="M5" s="16">
        <f t="shared" si="0"/>
        <v>6.3</v>
      </c>
      <c r="N5" s="82" t="str">
        <f>IF(AND($B$45&gt;L5,$B$45&lt;M5),F5,"")</f>
        <v/>
      </c>
      <c r="O5" s="21" t="str">
        <f t="shared" si="7"/>
        <v/>
      </c>
      <c r="P5" s="46" t="str">
        <f t="shared" si="1"/>
        <v/>
      </c>
      <c r="Q5" s="21" t="s">
        <v>69</v>
      </c>
    </row>
    <row r="6" spans="1:17" x14ac:dyDescent="0.2">
      <c r="F6" s="80">
        <v>40</v>
      </c>
      <c r="G6" s="14">
        <v>16</v>
      </c>
      <c r="H6" s="79">
        <v>160</v>
      </c>
      <c r="I6" s="79">
        <f t="shared" si="2"/>
        <v>0.1</v>
      </c>
      <c r="J6" s="79">
        <f t="shared" si="3"/>
        <v>0.16000000000000003</v>
      </c>
      <c r="K6" s="79">
        <f t="shared" si="4"/>
        <v>20</v>
      </c>
      <c r="L6" s="16">
        <f t="shared" si="5"/>
        <v>0.80000000000000016</v>
      </c>
      <c r="M6" s="16">
        <f t="shared" si="0"/>
        <v>16</v>
      </c>
      <c r="N6" s="82">
        <f>IF(AND($B$45&gt;L6,$B$45&lt;M6),F6,"")</f>
        <v>40</v>
      </c>
      <c r="O6" s="21">
        <f>IF(N6="","",($B$45/3600)/((F6/2000)^2*PI()))</f>
        <v>1.4721832236000318</v>
      </c>
      <c r="P6" s="46">
        <f t="shared" si="1"/>
        <v>160</v>
      </c>
      <c r="Q6" s="21" t="s">
        <v>69</v>
      </c>
    </row>
    <row r="7" spans="1:17" x14ac:dyDescent="0.2">
      <c r="A7" s="1" t="s">
        <v>31</v>
      </c>
      <c r="F7" s="80">
        <v>50</v>
      </c>
      <c r="G7" s="14">
        <v>25</v>
      </c>
      <c r="H7" s="79">
        <v>160</v>
      </c>
      <c r="I7" s="79">
        <f t="shared" si="2"/>
        <v>0.15625</v>
      </c>
      <c r="J7" s="79">
        <f t="shared" si="3"/>
        <v>0.25</v>
      </c>
      <c r="K7" s="79">
        <f t="shared" si="4"/>
        <v>31.25</v>
      </c>
      <c r="L7" s="16">
        <f t="shared" si="5"/>
        <v>1.25</v>
      </c>
      <c r="M7" s="16">
        <f t="shared" si="0"/>
        <v>25</v>
      </c>
      <c r="N7" s="82">
        <f t="shared" si="6"/>
        <v>50</v>
      </c>
      <c r="O7" s="21">
        <f t="shared" ref="O7:O9" si="8">IF(N7="","",($B$45/3600)/((F7/2000)^2*PI()))</f>
        <v>0.9421972631040203</v>
      </c>
      <c r="P7" s="46">
        <f t="shared" si="1"/>
        <v>160</v>
      </c>
      <c r="Q7" s="21" t="s">
        <v>69</v>
      </c>
    </row>
    <row r="8" spans="1:17" x14ac:dyDescent="0.2">
      <c r="A8" s="12" t="s">
        <v>32</v>
      </c>
      <c r="B8" s="84"/>
      <c r="C8" s="84"/>
      <c r="F8" s="80">
        <v>80</v>
      </c>
      <c r="G8" s="14">
        <v>63</v>
      </c>
      <c r="H8" s="79">
        <v>160</v>
      </c>
      <c r="I8" s="79">
        <f t="shared" si="2"/>
        <v>0.39374999999999999</v>
      </c>
      <c r="J8" s="79">
        <f t="shared" si="3"/>
        <v>0.63</v>
      </c>
      <c r="K8" s="79">
        <f t="shared" si="4"/>
        <v>78.75</v>
      </c>
      <c r="L8" s="16">
        <f t="shared" si="5"/>
        <v>3.15</v>
      </c>
      <c r="M8" s="16">
        <f t="shared" si="0"/>
        <v>63</v>
      </c>
      <c r="N8" s="82">
        <f t="shared" si="6"/>
        <v>80</v>
      </c>
      <c r="O8" s="21">
        <f>IF(N8="","",($B$45/3600)/((F8/2000)^2*PI()))</f>
        <v>0.36804580590000796</v>
      </c>
      <c r="P8" s="46">
        <f>IF(N8="","",H8)</f>
        <v>160</v>
      </c>
      <c r="Q8" s="21" t="s">
        <v>69</v>
      </c>
    </row>
    <row r="9" spans="1:17" x14ac:dyDescent="0.2">
      <c r="A9" s="12" t="s">
        <v>33</v>
      </c>
      <c r="B9" s="84"/>
      <c r="C9" s="84"/>
      <c r="F9" s="80">
        <v>100</v>
      </c>
      <c r="G9" s="14">
        <v>100</v>
      </c>
      <c r="H9" s="79">
        <v>160</v>
      </c>
      <c r="I9" s="79">
        <f t="shared" si="2"/>
        <v>0.625</v>
      </c>
      <c r="J9" s="79">
        <f t="shared" si="3"/>
        <v>1</v>
      </c>
      <c r="K9" s="79">
        <f t="shared" si="4"/>
        <v>125</v>
      </c>
      <c r="L9" s="16">
        <f t="shared" si="5"/>
        <v>5</v>
      </c>
      <c r="M9" s="16">
        <f t="shared" si="0"/>
        <v>100</v>
      </c>
      <c r="N9" s="82">
        <f t="shared" si="6"/>
        <v>100</v>
      </c>
      <c r="O9" s="21">
        <f t="shared" si="8"/>
        <v>0.23554931577600507</v>
      </c>
      <c r="P9" s="46">
        <f t="shared" ref="P9:P10" si="9">IF(N9="","",H9)</f>
        <v>160</v>
      </c>
      <c r="Q9" s="21" t="s">
        <v>69</v>
      </c>
    </row>
    <row r="10" spans="1:17" x14ac:dyDescent="0.2">
      <c r="A10" s="12" t="s">
        <v>34</v>
      </c>
      <c r="B10" s="110"/>
      <c r="C10" s="110"/>
      <c r="F10" s="80">
        <v>150</v>
      </c>
      <c r="G10" s="14">
        <v>160</v>
      </c>
      <c r="H10" s="79">
        <v>160</v>
      </c>
      <c r="I10" s="79">
        <f t="shared" si="2"/>
        <v>1</v>
      </c>
      <c r="J10" s="79">
        <f t="shared" si="3"/>
        <v>1.6</v>
      </c>
      <c r="K10" s="79">
        <f t="shared" si="4"/>
        <v>200</v>
      </c>
      <c r="L10" s="16">
        <f t="shared" si="5"/>
        <v>8</v>
      </c>
      <c r="M10" s="16">
        <f t="shared" si="0"/>
        <v>160</v>
      </c>
      <c r="N10" s="82" t="str">
        <f t="shared" si="6"/>
        <v/>
      </c>
      <c r="O10" s="21" t="str">
        <f t="shared" ref="O10" si="10">IF(N10="","",($B$23/3600)/((F10/2000)^2*PI()))</f>
        <v/>
      </c>
      <c r="P10" s="46" t="str">
        <f t="shared" si="9"/>
        <v/>
      </c>
      <c r="Q10" s="21" t="s">
        <v>69</v>
      </c>
    </row>
    <row r="11" spans="1:17" x14ac:dyDescent="0.2">
      <c r="A11" s="61"/>
      <c r="B11" s="62"/>
      <c r="C11" s="62"/>
      <c r="D11" s="8"/>
      <c r="F11" s="38"/>
      <c r="G11" s="39"/>
      <c r="H11" s="40"/>
      <c r="I11" s="41"/>
      <c r="J11" s="41"/>
      <c r="K11" s="41"/>
      <c r="L11" s="41"/>
      <c r="M11" s="47" t="s">
        <v>38</v>
      </c>
      <c r="N11" s="48">
        <f>MIN(N3:N10)</f>
        <v>40</v>
      </c>
      <c r="O11" s="49">
        <f>VLOOKUP(N11,N3:O10,2,0)</f>
        <v>1.4721832236000318</v>
      </c>
      <c r="P11" s="50">
        <f>VLOOKUP(N11,N3:P10,3,0)</f>
        <v>160</v>
      </c>
      <c r="Q11" s="49" t="str">
        <f>VLOOKUP(N11,N3:Q10,4,0)</f>
        <v>Mecánico</v>
      </c>
    </row>
    <row r="12" spans="1:17" x14ac:dyDescent="0.2">
      <c r="A12" s="4" t="s">
        <v>85</v>
      </c>
      <c r="B12" s="88" t="s">
        <v>75</v>
      </c>
      <c r="C12" s="88"/>
      <c r="F12" s="51"/>
      <c r="G12" s="52"/>
      <c r="H12" s="53"/>
      <c r="I12" s="54"/>
      <c r="J12" s="54"/>
      <c r="K12" s="54"/>
      <c r="L12" s="54"/>
      <c r="M12" s="42"/>
      <c r="N12" s="42"/>
      <c r="O12" s="38"/>
      <c r="P12" s="43"/>
      <c r="Q12" s="45"/>
    </row>
    <row r="13" spans="1:17" ht="12.75" customHeight="1" x14ac:dyDescent="0.2">
      <c r="A13" s="61"/>
      <c r="B13" s="62"/>
      <c r="C13" s="62"/>
      <c r="D13" s="8"/>
      <c r="F13" s="90" t="s">
        <v>97</v>
      </c>
      <c r="G13" s="91"/>
      <c r="H13" s="91"/>
      <c r="I13" s="91"/>
      <c r="J13" s="91"/>
      <c r="K13" s="92"/>
      <c r="L13" s="81" t="s">
        <v>24</v>
      </c>
      <c r="M13" s="81"/>
      <c r="N13" s="78" t="s">
        <v>35</v>
      </c>
      <c r="O13" s="78" t="s">
        <v>52</v>
      </c>
      <c r="P13" s="78" t="s">
        <v>30</v>
      </c>
      <c r="Q13" s="78" t="s">
        <v>77</v>
      </c>
    </row>
    <row r="14" spans="1:17" x14ac:dyDescent="0.2">
      <c r="A14" s="8" t="s">
        <v>86</v>
      </c>
      <c r="B14" s="8"/>
      <c r="C14" s="8"/>
      <c r="D14" s="8"/>
      <c r="F14" s="20" t="s">
        <v>25</v>
      </c>
      <c r="G14" s="20" t="s">
        <v>26</v>
      </c>
      <c r="H14" s="20" t="s">
        <v>30</v>
      </c>
      <c r="I14" s="20" t="s">
        <v>27</v>
      </c>
      <c r="J14" s="20" t="s">
        <v>28</v>
      </c>
      <c r="K14" s="20" t="s">
        <v>29</v>
      </c>
      <c r="L14" s="20" t="s">
        <v>36</v>
      </c>
      <c r="M14" s="20" t="s">
        <v>37</v>
      </c>
      <c r="N14" s="20"/>
      <c r="O14" s="20"/>
      <c r="P14" s="20"/>
      <c r="Q14" s="20"/>
    </row>
    <row r="15" spans="1:17" s="8" customFormat="1" x14ac:dyDescent="0.2">
      <c r="A15" s="24" t="s">
        <v>0</v>
      </c>
      <c r="B15" s="60" t="s">
        <v>1</v>
      </c>
      <c r="C15" s="60" t="s">
        <v>23</v>
      </c>
      <c r="D15" s="60" t="s">
        <v>66</v>
      </c>
      <c r="F15" s="80">
        <v>25</v>
      </c>
      <c r="G15" s="14">
        <v>6.3</v>
      </c>
      <c r="H15" s="79">
        <v>500</v>
      </c>
      <c r="I15" s="79">
        <f t="shared" ref="I15:I16" si="11">+G15/H15</f>
        <v>1.26E-2</v>
      </c>
      <c r="J15" s="79">
        <f t="shared" ref="J15:J20" si="12">I15*1.6</f>
        <v>2.0160000000000001E-2</v>
      </c>
      <c r="K15" s="79">
        <f t="shared" ref="K15:K20" si="13">+G15*1.25</f>
        <v>7.875</v>
      </c>
      <c r="L15" s="16">
        <f t="shared" ref="L15:L20" si="14">+J15*5</f>
        <v>0.1008</v>
      </c>
      <c r="M15" s="16">
        <f t="shared" ref="M15:M20" si="15">+G15</f>
        <v>6.3</v>
      </c>
      <c r="N15" s="80" t="str">
        <f>IF(AND($B$45&gt;L15,$B$45&lt;M15),F15,"")</f>
        <v/>
      </c>
      <c r="O15" s="21" t="str">
        <f>IF(N15="","",($B$45/3600)/((F15/2000)^2*PI()))</f>
        <v/>
      </c>
      <c r="P15" s="46" t="str">
        <f t="shared" ref="P15:P17" si="16">IF(N15="","",H15)</f>
        <v/>
      </c>
      <c r="Q15" s="21" t="s">
        <v>96</v>
      </c>
    </row>
    <row r="16" spans="1:17" s="8" customFormat="1" x14ac:dyDescent="0.2">
      <c r="A16" s="25" t="s">
        <v>2</v>
      </c>
      <c r="B16" s="29">
        <v>0.05</v>
      </c>
      <c r="C16" s="22">
        <v>7</v>
      </c>
      <c r="D16" s="29">
        <f>IF(C16="","",C16*B16)</f>
        <v>0.35000000000000003</v>
      </c>
      <c r="F16" s="80">
        <v>40</v>
      </c>
      <c r="G16" s="14">
        <v>10</v>
      </c>
      <c r="H16" s="79">
        <v>500</v>
      </c>
      <c r="I16" s="79">
        <f t="shared" si="11"/>
        <v>0.02</v>
      </c>
      <c r="J16" s="79">
        <f t="shared" si="12"/>
        <v>3.2000000000000001E-2</v>
      </c>
      <c r="K16" s="79">
        <f t="shared" si="13"/>
        <v>12.5</v>
      </c>
      <c r="L16" s="16">
        <f t="shared" si="14"/>
        <v>0.16</v>
      </c>
      <c r="M16" s="16">
        <f t="shared" si="15"/>
        <v>10</v>
      </c>
      <c r="N16" s="82">
        <f t="shared" ref="N16:N20" si="17">IF(AND($B$45&gt;L16,$B$45&lt;M16),F16,"")</f>
        <v>40</v>
      </c>
      <c r="O16" s="21">
        <f>IF(N16="","",($B$45/3600)/((F16/2000)^2*PI()))</f>
        <v>1.4721832236000318</v>
      </c>
      <c r="P16" s="46">
        <f t="shared" si="16"/>
        <v>500</v>
      </c>
      <c r="Q16" s="21" t="s">
        <v>96</v>
      </c>
    </row>
    <row r="17" spans="1:17" s="8" customFormat="1" x14ac:dyDescent="0.2">
      <c r="A17" s="26" t="s">
        <v>3</v>
      </c>
      <c r="B17" s="29">
        <v>0.1</v>
      </c>
      <c r="C17" s="22"/>
      <c r="D17" s="29" t="str">
        <f t="shared" ref="D17:D37" si="18">IF(C17="","",C17*B17)</f>
        <v/>
      </c>
      <c r="F17" s="80">
        <v>50</v>
      </c>
      <c r="G17" s="14">
        <v>25</v>
      </c>
      <c r="H17" s="79">
        <v>500</v>
      </c>
      <c r="I17" s="79">
        <f>+G17/H17</f>
        <v>0.05</v>
      </c>
      <c r="J17" s="79">
        <f t="shared" si="12"/>
        <v>8.0000000000000016E-2</v>
      </c>
      <c r="K17" s="79">
        <f t="shared" si="13"/>
        <v>31.25</v>
      </c>
      <c r="L17" s="16">
        <f t="shared" si="14"/>
        <v>0.40000000000000008</v>
      </c>
      <c r="M17" s="16">
        <f t="shared" si="15"/>
        <v>25</v>
      </c>
      <c r="N17" s="82">
        <f t="shared" si="17"/>
        <v>50</v>
      </c>
      <c r="O17" s="21">
        <f t="shared" ref="O17:O20" si="19">IF(N17="","",($B$45/3600)/((F17/2000)^2*PI()))</f>
        <v>0.9421972631040203</v>
      </c>
      <c r="P17" s="46">
        <f t="shared" si="16"/>
        <v>500</v>
      </c>
      <c r="Q17" s="21" t="s">
        <v>96</v>
      </c>
    </row>
    <row r="18" spans="1:17" s="8" customFormat="1" x14ac:dyDescent="0.2">
      <c r="A18" s="26" t="s">
        <v>4</v>
      </c>
      <c r="B18" s="29">
        <v>0.2</v>
      </c>
      <c r="C18" s="22"/>
      <c r="D18" s="29" t="str">
        <f t="shared" si="18"/>
        <v/>
      </c>
      <c r="F18" s="80">
        <v>80</v>
      </c>
      <c r="G18" s="14">
        <v>63</v>
      </c>
      <c r="H18" s="79">
        <v>500</v>
      </c>
      <c r="I18" s="79">
        <f t="shared" ref="I18:I20" si="20">+G18/H18</f>
        <v>0.126</v>
      </c>
      <c r="J18" s="79">
        <f t="shared" si="12"/>
        <v>0.2016</v>
      </c>
      <c r="K18" s="79">
        <f t="shared" si="13"/>
        <v>78.75</v>
      </c>
      <c r="L18" s="16">
        <f t="shared" si="14"/>
        <v>1.008</v>
      </c>
      <c r="M18" s="16">
        <f t="shared" si="15"/>
        <v>63</v>
      </c>
      <c r="N18" s="82">
        <f t="shared" si="17"/>
        <v>80</v>
      </c>
      <c r="O18" s="21">
        <f t="shared" si="19"/>
        <v>0.36804580590000796</v>
      </c>
      <c r="P18" s="46">
        <f>IF(N18="","",H18)</f>
        <v>500</v>
      </c>
      <c r="Q18" s="21" t="s">
        <v>96</v>
      </c>
    </row>
    <row r="19" spans="1:17" s="8" customFormat="1" x14ac:dyDescent="0.2">
      <c r="A19" s="26" t="s">
        <v>5</v>
      </c>
      <c r="B19" s="29">
        <v>0.3</v>
      </c>
      <c r="C19" s="22"/>
      <c r="D19" s="29" t="str">
        <f t="shared" si="18"/>
        <v/>
      </c>
      <c r="F19" s="80">
        <v>100</v>
      </c>
      <c r="G19" s="14">
        <v>100</v>
      </c>
      <c r="H19" s="79">
        <v>500</v>
      </c>
      <c r="I19" s="79">
        <f t="shared" si="20"/>
        <v>0.2</v>
      </c>
      <c r="J19" s="79">
        <f t="shared" si="12"/>
        <v>0.32000000000000006</v>
      </c>
      <c r="K19" s="79">
        <f t="shared" si="13"/>
        <v>125</v>
      </c>
      <c r="L19" s="16">
        <f t="shared" si="14"/>
        <v>1.6000000000000003</v>
      </c>
      <c r="M19" s="16">
        <f t="shared" si="15"/>
        <v>100</v>
      </c>
      <c r="N19" s="82">
        <f t="shared" si="17"/>
        <v>100</v>
      </c>
      <c r="O19" s="21">
        <f t="shared" si="19"/>
        <v>0.23554931577600507</v>
      </c>
      <c r="P19" s="46">
        <f t="shared" ref="P19:P20" si="21">IF(N19="","",H19)</f>
        <v>500</v>
      </c>
      <c r="Q19" s="21" t="s">
        <v>96</v>
      </c>
    </row>
    <row r="20" spans="1:17" s="8" customFormat="1" x14ac:dyDescent="0.2">
      <c r="A20" s="26" t="s">
        <v>6</v>
      </c>
      <c r="B20" s="29">
        <v>0.2</v>
      </c>
      <c r="C20" s="22"/>
      <c r="D20" s="29" t="str">
        <f t="shared" si="18"/>
        <v/>
      </c>
      <c r="F20" s="80">
        <v>150</v>
      </c>
      <c r="G20" s="14">
        <v>250</v>
      </c>
      <c r="H20" s="79">
        <v>500</v>
      </c>
      <c r="I20" s="79">
        <f t="shared" si="20"/>
        <v>0.5</v>
      </c>
      <c r="J20" s="79">
        <f t="shared" si="12"/>
        <v>0.8</v>
      </c>
      <c r="K20" s="79">
        <f t="shared" si="13"/>
        <v>312.5</v>
      </c>
      <c r="L20" s="16">
        <f t="shared" si="14"/>
        <v>4</v>
      </c>
      <c r="M20" s="16">
        <f t="shared" si="15"/>
        <v>250</v>
      </c>
      <c r="N20" s="82">
        <f t="shared" si="17"/>
        <v>150</v>
      </c>
      <c r="O20" s="21">
        <f t="shared" si="19"/>
        <v>0.10468858478933558</v>
      </c>
      <c r="P20" s="46">
        <f t="shared" si="21"/>
        <v>500</v>
      </c>
      <c r="Q20" s="21" t="s">
        <v>96</v>
      </c>
    </row>
    <row r="21" spans="1:17" s="8" customFormat="1" x14ac:dyDescent="0.2">
      <c r="A21" s="26" t="s">
        <v>7</v>
      </c>
      <c r="B21" s="29">
        <v>0.1</v>
      </c>
      <c r="C21" s="22"/>
      <c r="D21" s="29" t="str">
        <f t="shared" si="18"/>
        <v/>
      </c>
      <c r="F21" s="38"/>
      <c r="G21" s="63"/>
      <c r="H21" s="40"/>
      <c r="I21" s="41"/>
      <c r="J21" s="41"/>
      <c r="K21" s="41"/>
      <c r="L21" s="41"/>
      <c r="M21" s="47" t="s">
        <v>38</v>
      </c>
      <c r="N21" s="48">
        <f>MIN(N15:N20)</f>
        <v>40</v>
      </c>
      <c r="O21" s="49">
        <f>VLOOKUP(N21,N15:O20,2,0)</f>
        <v>1.4721832236000318</v>
      </c>
      <c r="P21" s="50">
        <f>VLOOKUP(N21,N15:P20,3,0)</f>
        <v>500</v>
      </c>
      <c r="Q21" s="49" t="str">
        <f>VLOOKUP(N21,N15:Q20,4,0)</f>
        <v>Ultrasónico</v>
      </c>
    </row>
    <row r="22" spans="1:17" s="8" customFormat="1" x14ac:dyDescent="0.2">
      <c r="A22" s="26" t="s">
        <v>8</v>
      </c>
      <c r="B22" s="29">
        <v>0.1</v>
      </c>
      <c r="C22" s="22"/>
      <c r="D22" s="29" t="str">
        <f t="shared" si="18"/>
        <v/>
      </c>
    </row>
    <row r="23" spans="1:17" s="8" customFormat="1" x14ac:dyDescent="0.2">
      <c r="A23" s="26" t="s">
        <v>9</v>
      </c>
      <c r="B23" s="29">
        <v>1.25</v>
      </c>
      <c r="C23" s="22">
        <v>5</v>
      </c>
      <c r="D23" s="29">
        <f t="shared" si="18"/>
        <v>6.25</v>
      </c>
      <c r="F23" s="85" t="s">
        <v>40</v>
      </c>
      <c r="G23" s="85"/>
      <c r="H23" s="85"/>
      <c r="I23" s="85"/>
      <c r="J23" s="85"/>
      <c r="K23" s="85"/>
      <c r="L23" s="85"/>
      <c r="N23" s="85" t="s">
        <v>80</v>
      </c>
      <c r="O23" s="85"/>
    </row>
    <row r="24" spans="1:17" s="8" customFormat="1" x14ac:dyDescent="0.2">
      <c r="A24" s="12" t="s">
        <v>10</v>
      </c>
      <c r="B24" s="29">
        <v>0.15</v>
      </c>
      <c r="C24" s="22">
        <v>2</v>
      </c>
      <c r="D24" s="29">
        <f t="shared" si="18"/>
        <v>0.3</v>
      </c>
      <c r="F24" s="20" t="s">
        <v>25</v>
      </c>
      <c r="G24" s="20" t="s">
        <v>39</v>
      </c>
      <c r="H24" s="20" t="s">
        <v>41</v>
      </c>
      <c r="I24" s="20" t="s">
        <v>42</v>
      </c>
      <c r="J24" s="20" t="s">
        <v>40</v>
      </c>
      <c r="K24" s="20" t="s">
        <v>52</v>
      </c>
      <c r="L24" s="20" t="s">
        <v>95</v>
      </c>
      <c r="N24" s="79" t="s">
        <v>73</v>
      </c>
      <c r="O24" s="32" t="s">
        <v>72</v>
      </c>
    </row>
    <row r="25" spans="1:17" s="8" customFormat="1" x14ac:dyDescent="0.2">
      <c r="A25" s="12" t="s">
        <v>11</v>
      </c>
      <c r="B25" s="29">
        <v>0.04</v>
      </c>
      <c r="C25" s="22"/>
      <c r="D25" s="29" t="str">
        <f t="shared" si="18"/>
        <v/>
      </c>
      <c r="F25" s="64">
        <v>20</v>
      </c>
      <c r="G25" s="69">
        <f>+F25-2.3*2</f>
        <v>15.4</v>
      </c>
      <c r="H25" s="71">
        <v>2</v>
      </c>
      <c r="I25" s="72">
        <f>PI()*(G25/2/1000)^2*H25*1000</f>
        <v>0.37253005686267771</v>
      </c>
      <c r="J25" s="64" t="str">
        <f>IF($B$45*1000/60/60&lt;=I25,F25,"")</f>
        <v/>
      </c>
      <c r="K25" s="70" t="str">
        <f>IF(J25="","",($B$48/3600)/((G25/2000)^2*PI()))</f>
        <v/>
      </c>
      <c r="L25" s="72" t="s">
        <v>93</v>
      </c>
      <c r="N25" s="79">
        <v>1</v>
      </c>
      <c r="O25" s="33">
        <f>+'Sistema con bombeo'!N25</f>
        <v>10.786618472869936</v>
      </c>
    </row>
    <row r="26" spans="1:17" s="8" customFormat="1" x14ac:dyDescent="0.2">
      <c r="A26" s="12" t="s">
        <v>12</v>
      </c>
      <c r="B26" s="29">
        <v>0.2</v>
      </c>
      <c r="C26" s="22">
        <v>1</v>
      </c>
      <c r="D26" s="29">
        <f t="shared" si="18"/>
        <v>0.2</v>
      </c>
      <c r="F26" s="64">
        <v>32</v>
      </c>
      <c r="G26" s="69">
        <v>26</v>
      </c>
      <c r="H26" s="71">
        <v>2</v>
      </c>
      <c r="I26" s="72">
        <f t="shared" ref="I26:I33" si="22">PI()*(G26/2/1000)^2*H26*1000</f>
        <v>1.06185831691335</v>
      </c>
      <c r="J26" s="64" t="str">
        <f t="shared" ref="J26:J33" si="23">IF($B$45*1000/60/60&lt;=I26,F26,"")</f>
        <v/>
      </c>
      <c r="K26" s="70" t="str">
        <f t="shared" ref="K26:K33" si="24">IF(J26="","",($B$48/3600)/((G26/2000)^2*PI()))</f>
        <v/>
      </c>
      <c r="L26" s="74" t="s">
        <v>94</v>
      </c>
      <c r="N26" s="79">
        <v>2</v>
      </c>
      <c r="O26" s="33">
        <f>+'Sistema con bombeo'!N26</f>
        <v>11.689660882078087</v>
      </c>
    </row>
    <row r="27" spans="1:17" s="8" customFormat="1" x14ac:dyDescent="0.2">
      <c r="A27" s="12" t="s">
        <v>13</v>
      </c>
      <c r="B27" s="29">
        <v>0.3</v>
      </c>
      <c r="C27" s="22"/>
      <c r="D27" s="29" t="str">
        <f t="shared" si="18"/>
        <v/>
      </c>
      <c r="F27" s="64">
        <v>40</v>
      </c>
      <c r="G27" s="69">
        <v>32.6</v>
      </c>
      <c r="H27" s="71">
        <v>2</v>
      </c>
      <c r="I27" s="72">
        <f t="shared" si="22"/>
        <v>1.6693795042645447</v>
      </c>
      <c r="J27" s="64" t="str">
        <f t="shared" si="23"/>
        <v/>
      </c>
      <c r="K27" s="70" t="str">
        <f t="shared" si="24"/>
        <v/>
      </c>
      <c r="L27" s="74" t="s">
        <v>94</v>
      </c>
      <c r="N27" s="79">
        <v>3</v>
      </c>
      <c r="O27" s="33">
        <f>+'Sistema con bombeo'!N27</f>
        <v>11.27805113109404</v>
      </c>
    </row>
    <row r="28" spans="1:17" s="8" customFormat="1" x14ac:dyDescent="0.2">
      <c r="A28" s="12" t="s">
        <v>14</v>
      </c>
      <c r="B28" s="29">
        <v>0.15</v>
      </c>
      <c r="C28" s="22"/>
      <c r="D28" s="29" t="str">
        <f t="shared" si="18"/>
        <v/>
      </c>
      <c r="F28" s="75">
        <v>63</v>
      </c>
      <c r="G28" s="66">
        <v>51.4</v>
      </c>
      <c r="H28" s="73">
        <v>2</v>
      </c>
      <c r="I28" s="74">
        <f t="shared" si="22"/>
        <v>4.1499810635390455</v>
      </c>
      <c r="J28" s="64">
        <f t="shared" si="23"/>
        <v>63</v>
      </c>
      <c r="K28" s="70">
        <f t="shared" si="24"/>
        <v>0.89157033329802526</v>
      </c>
      <c r="L28" s="74" t="s">
        <v>94</v>
      </c>
      <c r="N28" s="79">
        <v>4</v>
      </c>
      <c r="O28" s="33">
        <f>+'Sistema con bombeo'!N28</f>
        <v>11.213117476227731</v>
      </c>
    </row>
    <row r="29" spans="1:17" s="8" customFormat="1" x14ac:dyDescent="0.2">
      <c r="A29" s="12" t="s">
        <v>15</v>
      </c>
      <c r="B29" s="29">
        <v>0.25</v>
      </c>
      <c r="C29" s="22"/>
      <c r="D29" s="29" t="str">
        <f t="shared" si="18"/>
        <v/>
      </c>
      <c r="F29" s="68">
        <v>90</v>
      </c>
      <c r="G29" s="66">
        <v>73.599999999999994</v>
      </c>
      <c r="H29" s="73">
        <v>2.5</v>
      </c>
      <c r="I29" s="74">
        <f t="shared" si="22"/>
        <v>10.636176087993602</v>
      </c>
      <c r="J29" s="64">
        <f t="shared" si="23"/>
        <v>90</v>
      </c>
      <c r="K29" s="70">
        <f t="shared" si="24"/>
        <v>0.43483672719755195</v>
      </c>
      <c r="L29" s="74" t="s">
        <v>94</v>
      </c>
      <c r="N29" s="79">
        <v>5</v>
      </c>
      <c r="O29" s="33">
        <f>+'Sistema con bombeo'!N29</f>
        <v>11.718083308079576</v>
      </c>
    </row>
    <row r="30" spans="1:17" s="8" customFormat="1" x14ac:dyDescent="0.2">
      <c r="A30" s="12" t="s">
        <v>16</v>
      </c>
      <c r="B30" s="29">
        <v>0.2</v>
      </c>
      <c r="C30" s="22"/>
      <c r="D30" s="29" t="str">
        <f t="shared" si="18"/>
        <v/>
      </c>
      <c r="F30" s="68">
        <v>125</v>
      </c>
      <c r="G30" s="66">
        <v>102.3</v>
      </c>
      <c r="H30" s="73">
        <v>2.5</v>
      </c>
      <c r="I30" s="74">
        <f t="shared" si="22"/>
        <v>20.548548863554206</v>
      </c>
      <c r="J30" s="64">
        <f t="shared" si="23"/>
        <v>125</v>
      </c>
      <c r="K30" s="70">
        <f t="shared" si="24"/>
        <v>0.22507672102350251</v>
      </c>
      <c r="L30" s="74" t="s">
        <v>94</v>
      </c>
      <c r="N30" s="79">
        <v>6</v>
      </c>
      <c r="O30" s="33">
        <f>+'Sistema con bombeo'!N30</f>
        <v>14.263662399503399</v>
      </c>
    </row>
    <row r="31" spans="1:17" s="8" customFormat="1" x14ac:dyDescent="0.2">
      <c r="A31" s="12" t="s">
        <v>17</v>
      </c>
      <c r="B31" s="29">
        <v>0.2</v>
      </c>
      <c r="C31" s="22"/>
      <c r="D31" s="29" t="str">
        <f t="shared" si="18"/>
        <v/>
      </c>
      <c r="F31" s="68">
        <v>180</v>
      </c>
      <c r="G31" s="66">
        <v>147.30000000000001</v>
      </c>
      <c r="H31" s="73">
        <v>2.5</v>
      </c>
      <c r="I31" s="74">
        <f t="shared" si="22"/>
        <v>42.602529291754564</v>
      </c>
      <c r="J31" s="64">
        <f t="shared" si="23"/>
        <v>180</v>
      </c>
      <c r="K31" s="70">
        <f t="shared" si="24"/>
        <v>0.10856162948276261</v>
      </c>
      <c r="L31" s="74" t="s">
        <v>94</v>
      </c>
    </row>
    <row r="32" spans="1:17" s="8" customFormat="1" x14ac:dyDescent="0.2">
      <c r="A32" s="12" t="s">
        <v>18</v>
      </c>
      <c r="B32" s="29">
        <v>0.6</v>
      </c>
      <c r="C32" s="22"/>
      <c r="D32" s="29" t="str">
        <f t="shared" si="18"/>
        <v/>
      </c>
      <c r="F32" s="68">
        <v>250</v>
      </c>
      <c r="G32" s="66">
        <v>204.5</v>
      </c>
      <c r="H32" s="73">
        <v>2.5</v>
      </c>
      <c r="I32" s="74">
        <f t="shared" si="22"/>
        <v>82.113868857055323</v>
      </c>
      <c r="J32" s="64">
        <f t="shared" si="23"/>
        <v>250</v>
      </c>
      <c r="K32" s="70">
        <f t="shared" si="24"/>
        <v>5.6324224694019077E-2</v>
      </c>
      <c r="L32" s="74" t="s">
        <v>94</v>
      </c>
    </row>
    <row r="33" spans="1:17" s="8" customFormat="1" x14ac:dyDescent="0.2">
      <c r="A33" s="12" t="s">
        <v>68</v>
      </c>
      <c r="B33" s="29">
        <v>0.15</v>
      </c>
      <c r="C33" s="22">
        <v>2</v>
      </c>
      <c r="D33" s="29">
        <f t="shared" si="18"/>
        <v>0.3</v>
      </c>
      <c r="F33" s="68">
        <v>315</v>
      </c>
      <c r="G33" s="66">
        <v>257.7</v>
      </c>
      <c r="H33" s="73">
        <v>2.5</v>
      </c>
      <c r="I33" s="74">
        <f t="shared" si="22"/>
        <v>130.39433599632133</v>
      </c>
      <c r="J33" s="64">
        <f t="shared" si="23"/>
        <v>315</v>
      </c>
      <c r="K33" s="70">
        <f t="shared" si="24"/>
        <v>3.5469332043153161E-2</v>
      </c>
      <c r="L33" s="74" t="s">
        <v>94</v>
      </c>
      <c r="M33" s="1"/>
      <c r="N33" s="1"/>
    </row>
    <row r="34" spans="1:17" s="8" customFormat="1" x14ac:dyDescent="0.2">
      <c r="A34" s="12" t="s">
        <v>19</v>
      </c>
      <c r="B34" s="29">
        <v>0.2</v>
      </c>
      <c r="C34" s="22"/>
      <c r="D34" s="29" t="str">
        <f t="shared" si="18"/>
        <v/>
      </c>
      <c r="I34" s="67" t="s">
        <v>38</v>
      </c>
      <c r="J34" s="68">
        <f>MIN(J25:J33)</f>
        <v>63</v>
      </c>
      <c r="K34" s="49">
        <f>VLOOKUP(J34,J25:K33,2,0)</f>
        <v>0.89157033329802526</v>
      </c>
      <c r="L34" s="67" t="str">
        <f>VLOOKUP(J34,J25:L33,3,0)</f>
        <v>PE100 PN16</v>
      </c>
      <c r="N34" s="1"/>
      <c r="Q34" s="1"/>
    </row>
    <row r="35" spans="1:17" s="8" customFormat="1" x14ac:dyDescent="0.2">
      <c r="A35" s="12" t="s">
        <v>20</v>
      </c>
      <c r="B35" s="29">
        <v>0.2</v>
      </c>
      <c r="C35" s="22"/>
      <c r="D35" s="29" t="str">
        <f t="shared" si="18"/>
        <v/>
      </c>
      <c r="F35" s="17"/>
      <c r="G35" s="1"/>
      <c r="H35" s="1"/>
      <c r="N35" s="1"/>
      <c r="Q35" s="1"/>
    </row>
    <row r="36" spans="1:17" s="8" customFormat="1" x14ac:dyDescent="0.2">
      <c r="A36" s="23"/>
      <c r="B36" s="23"/>
      <c r="C36" s="22"/>
      <c r="D36" s="29" t="str">
        <f t="shared" si="18"/>
        <v/>
      </c>
      <c r="F36" s="17" t="s">
        <v>79</v>
      </c>
      <c r="G36" s="1"/>
      <c r="H36" s="1"/>
      <c r="N36" s="1"/>
      <c r="Q36" s="1"/>
    </row>
    <row r="37" spans="1:17" s="8" customFormat="1" x14ac:dyDescent="0.2">
      <c r="A37" s="23"/>
      <c r="B37" s="23"/>
      <c r="C37" s="22"/>
      <c r="D37" s="29" t="str">
        <f t="shared" si="18"/>
        <v/>
      </c>
      <c r="F37" s="17" t="s">
        <v>71</v>
      </c>
      <c r="G37" s="1"/>
      <c r="H37" s="1"/>
      <c r="N37" s="1"/>
      <c r="Q37" s="1"/>
    </row>
    <row r="38" spans="1:17" s="8" customFormat="1" x14ac:dyDescent="0.2">
      <c r="A38" s="27" t="s">
        <v>21</v>
      </c>
      <c r="B38" s="12"/>
      <c r="C38" s="58">
        <f>SUM(C16:C37)</f>
        <v>17</v>
      </c>
      <c r="D38" s="30">
        <f>SUM(D16:D37)</f>
        <v>7.3999999999999995</v>
      </c>
      <c r="F38" s="83" t="s">
        <v>92</v>
      </c>
      <c r="G38" s="83"/>
      <c r="H38" s="83"/>
      <c r="I38" s="83"/>
      <c r="J38" s="83"/>
      <c r="K38" s="83"/>
      <c r="L38" s="83"/>
      <c r="N38" s="1"/>
      <c r="Q38" s="1"/>
    </row>
    <row r="39" spans="1:17" s="8" customFormat="1" ht="12.75" customHeight="1" x14ac:dyDescent="0.2">
      <c r="A39" s="12" t="s">
        <v>57</v>
      </c>
      <c r="B39" s="111">
        <f>1/(C38-1)^0.5</f>
        <v>0.25</v>
      </c>
      <c r="C39" s="111"/>
      <c r="F39" s="83"/>
      <c r="G39" s="83"/>
      <c r="H39" s="83"/>
      <c r="I39" s="83"/>
      <c r="J39" s="83"/>
      <c r="K39" s="83"/>
      <c r="L39" s="83"/>
      <c r="M39" s="76"/>
      <c r="N39" s="1"/>
      <c r="Q39" s="1"/>
    </row>
    <row r="40" spans="1:17" s="8" customFormat="1" x14ac:dyDescent="0.2">
      <c r="A40" s="61"/>
      <c r="B40" s="62"/>
      <c r="C40" s="62"/>
      <c r="D40" s="1"/>
      <c r="F40" s="83"/>
      <c r="G40" s="83"/>
      <c r="H40" s="83"/>
      <c r="I40" s="83"/>
      <c r="J40" s="83"/>
      <c r="K40" s="83"/>
      <c r="L40" s="83"/>
      <c r="M40" s="76"/>
      <c r="N40" s="1"/>
      <c r="O40" s="1"/>
      <c r="P40" s="1"/>
      <c r="Q40" s="1"/>
    </row>
    <row r="41" spans="1:17" x14ac:dyDescent="0.2">
      <c r="A41" s="8" t="s">
        <v>87</v>
      </c>
      <c r="B41" s="8"/>
      <c r="C41" s="8"/>
      <c r="D41" s="8"/>
      <c r="F41" s="83"/>
      <c r="G41" s="83"/>
      <c r="H41" s="83"/>
      <c r="I41" s="83"/>
      <c r="J41" s="83"/>
      <c r="K41" s="83"/>
      <c r="L41" s="83"/>
      <c r="M41" s="76"/>
    </row>
    <row r="42" spans="1:17" x14ac:dyDescent="0.2">
      <c r="A42" s="12" t="s">
        <v>56</v>
      </c>
      <c r="B42" s="101">
        <v>1</v>
      </c>
      <c r="C42" s="101"/>
      <c r="D42" s="8"/>
      <c r="F42" s="8"/>
      <c r="I42" s="8"/>
      <c r="J42" s="8"/>
      <c r="K42" s="8"/>
      <c r="L42" s="8"/>
      <c r="M42" s="8"/>
    </row>
    <row r="43" spans="1:17" x14ac:dyDescent="0.2">
      <c r="A43" s="12" t="s">
        <v>60</v>
      </c>
      <c r="B43" s="111">
        <f>(19+B42)/(10*(B42+1))</f>
        <v>1</v>
      </c>
      <c r="C43" s="111"/>
      <c r="D43" s="8"/>
      <c r="M43" s="8"/>
    </row>
    <row r="44" spans="1:17" x14ac:dyDescent="0.2">
      <c r="A44" s="12" t="s">
        <v>59</v>
      </c>
      <c r="B44" s="112">
        <f>D38*B42*B39*B43</f>
        <v>1.8499999999999999</v>
      </c>
      <c r="C44" s="113"/>
      <c r="D44" s="8"/>
      <c r="M44" s="8"/>
    </row>
    <row r="45" spans="1:17" x14ac:dyDescent="0.2">
      <c r="A45" s="12" t="s">
        <v>59</v>
      </c>
      <c r="B45" s="114">
        <f>B44/1000*3600</f>
        <v>6.6599999999999993</v>
      </c>
      <c r="C45" s="115"/>
      <c r="D45" s="8"/>
      <c r="M45" s="8"/>
    </row>
    <row r="46" spans="1:17" x14ac:dyDescent="0.2">
      <c r="A46" s="8"/>
      <c r="B46" s="7"/>
      <c r="C46" s="7"/>
      <c r="D46" s="8"/>
    </row>
    <row r="47" spans="1:17" x14ac:dyDescent="0.2">
      <c r="A47" s="1" t="s">
        <v>88</v>
      </c>
      <c r="C47" s="8"/>
    </row>
    <row r="48" spans="1:17" x14ac:dyDescent="0.2">
      <c r="A48" s="5" t="s">
        <v>48</v>
      </c>
      <c r="B48" s="99">
        <f>B45</f>
        <v>6.6599999999999993</v>
      </c>
      <c r="C48" s="99"/>
    </row>
    <row r="49" spans="1:3" x14ac:dyDescent="0.2">
      <c r="A49" s="6"/>
      <c r="B49" s="7"/>
      <c r="C49" s="8"/>
    </row>
    <row r="50" spans="1:3" x14ac:dyDescent="0.2">
      <c r="A50" s="6" t="s">
        <v>89</v>
      </c>
      <c r="B50" s="7"/>
      <c r="C50" s="8"/>
    </row>
    <row r="51" spans="1:3" x14ac:dyDescent="0.2">
      <c r="A51" s="15" t="s">
        <v>78</v>
      </c>
      <c r="B51" s="93" t="str">
        <f>IF(B12="Residencial",N11&amp;" mm",IF(N11&lt;=40,N11&amp;" mm",N21&amp;" mm"))</f>
        <v>40 mm</v>
      </c>
      <c r="C51" s="93"/>
    </row>
    <row r="52" spans="1:3" x14ac:dyDescent="0.2">
      <c r="A52" s="15" t="s">
        <v>49</v>
      </c>
      <c r="B52" s="89" t="str">
        <f>IFERROR(IF(B12="Residencial",Q11,IF(N11&lt;=40,Q11,Q21)),"")</f>
        <v>Mecánico</v>
      </c>
      <c r="C52" s="89"/>
    </row>
    <row r="53" spans="1:3" x14ac:dyDescent="0.2">
      <c r="A53" s="15" t="s">
        <v>50</v>
      </c>
      <c r="B53" s="89">
        <f>IFERROR(IF(B12="Residencial",P11,IF(N11&lt;=40,P11,P21)),"")</f>
        <v>160</v>
      </c>
      <c r="C53" s="89"/>
    </row>
    <row r="54" spans="1:3" x14ac:dyDescent="0.2">
      <c r="A54" s="15" t="s">
        <v>53</v>
      </c>
      <c r="B54" s="94">
        <f>IFERROR(IF(B12="Residencial",O11,IF(N11&lt;=40,O11,O21)),"")</f>
        <v>1.4721832236000318</v>
      </c>
      <c r="C54" s="95"/>
    </row>
    <row r="55" spans="1:3" x14ac:dyDescent="0.2">
      <c r="A55" s="65"/>
      <c r="B55" s="45"/>
      <c r="C55" s="45"/>
    </row>
    <row r="56" spans="1:3" x14ac:dyDescent="0.2">
      <c r="A56" s="65"/>
      <c r="B56" s="45"/>
      <c r="C56" s="45"/>
    </row>
    <row r="57" spans="1:3" x14ac:dyDescent="0.2">
      <c r="A57" s="65"/>
      <c r="B57" s="45"/>
      <c r="C57" s="45"/>
    </row>
    <row r="58" spans="1:3" x14ac:dyDescent="0.2">
      <c r="A58" s="6" t="s">
        <v>90</v>
      </c>
      <c r="B58" s="7"/>
      <c r="C58" s="8"/>
    </row>
    <row r="59" spans="1:3" x14ac:dyDescent="0.2">
      <c r="A59" s="5" t="s">
        <v>51</v>
      </c>
      <c r="B59" s="93" t="str">
        <f>CONCATENATE(J34," mm ",L34)</f>
        <v>63 mm PE100 PN16</v>
      </c>
      <c r="C59" s="93"/>
    </row>
    <row r="60" spans="1:3" x14ac:dyDescent="0.2">
      <c r="A60" s="15" t="s">
        <v>76</v>
      </c>
      <c r="B60" s="94">
        <f>K34</f>
        <v>0.89157033329802526</v>
      </c>
      <c r="C60" s="95"/>
    </row>
    <row r="61" spans="1:3" x14ac:dyDescent="0.2">
      <c r="A61" s="6"/>
      <c r="B61" s="7"/>
      <c r="C61" s="8"/>
    </row>
    <row r="62" spans="1:3" x14ac:dyDescent="0.2">
      <c r="A62" s="6"/>
      <c r="B62" s="7"/>
      <c r="C62" s="8"/>
    </row>
    <row r="63" spans="1:3" x14ac:dyDescent="0.2">
      <c r="A63" s="8"/>
      <c r="B63" s="8"/>
      <c r="C63" s="8"/>
    </row>
    <row r="64" spans="1:3" x14ac:dyDescent="0.2">
      <c r="A64" s="8"/>
      <c r="B64" s="8"/>
      <c r="C64" s="8"/>
    </row>
    <row r="65" spans="1:3" x14ac:dyDescent="0.2">
      <c r="A65" s="28"/>
      <c r="B65" s="7"/>
      <c r="C65" s="8"/>
    </row>
    <row r="66" spans="1:3" x14ac:dyDescent="0.2">
      <c r="A66" s="1" t="s">
        <v>64</v>
      </c>
      <c r="B66" s="7"/>
      <c r="C66" s="8"/>
    </row>
    <row r="67" spans="1:3" x14ac:dyDescent="0.2">
      <c r="A67" s="6"/>
      <c r="B67" s="7"/>
      <c r="C67" s="8"/>
    </row>
    <row r="68" spans="1:3" x14ac:dyDescent="0.2">
      <c r="A68" s="6"/>
      <c r="B68" s="7"/>
      <c r="C68" s="8"/>
    </row>
    <row r="69" spans="1:3" x14ac:dyDescent="0.2">
      <c r="A69" s="6"/>
      <c r="B69" s="7"/>
      <c r="C69" s="8"/>
    </row>
    <row r="70" spans="1:3" x14ac:dyDescent="0.2">
      <c r="A70" s="6"/>
      <c r="B70" s="7"/>
      <c r="C70" s="8"/>
    </row>
    <row r="71" spans="1:3" x14ac:dyDescent="0.2">
      <c r="A71" s="8"/>
      <c r="B71" s="8"/>
      <c r="C71" s="8"/>
    </row>
    <row r="72" spans="1:3" x14ac:dyDescent="0.2">
      <c r="A72" s="8"/>
      <c r="B72" s="44"/>
      <c r="C72" s="44"/>
    </row>
    <row r="73" spans="1:3" x14ac:dyDescent="0.2">
      <c r="A73" s="8"/>
      <c r="B73" s="8"/>
      <c r="C73" s="8"/>
    </row>
    <row r="74" spans="1:3" x14ac:dyDescent="0.2">
      <c r="A74" s="8"/>
      <c r="B74" s="8"/>
      <c r="C74" s="8"/>
    </row>
    <row r="75" spans="1:3" x14ac:dyDescent="0.2">
      <c r="A75" s="8"/>
      <c r="B75" s="8"/>
      <c r="C75" s="8"/>
    </row>
  </sheetData>
  <mergeCells count="24">
    <mergeCell ref="F13:K13"/>
    <mergeCell ref="A1:B1"/>
    <mergeCell ref="F1:K1"/>
    <mergeCell ref="B8:C8"/>
    <mergeCell ref="B9:C9"/>
    <mergeCell ref="A4:D5"/>
    <mergeCell ref="A2:C2"/>
    <mergeCell ref="B10:C10"/>
    <mergeCell ref="B12:C12"/>
    <mergeCell ref="N23:O23"/>
    <mergeCell ref="B51:C51"/>
    <mergeCell ref="B52:C52"/>
    <mergeCell ref="B53:C53"/>
    <mergeCell ref="B54:C54"/>
    <mergeCell ref="B48:C48"/>
    <mergeCell ref="F23:L23"/>
    <mergeCell ref="F38:L41"/>
    <mergeCell ref="B60:C60"/>
    <mergeCell ref="B39:C39"/>
    <mergeCell ref="B42:C42"/>
    <mergeCell ref="B43:C43"/>
    <mergeCell ref="B44:C44"/>
    <mergeCell ref="B45:C45"/>
    <mergeCell ref="B59:C59"/>
  </mergeCells>
  <dataValidations count="1">
    <dataValidation type="list" allowBlank="1" showInputMessage="1" showErrorMessage="1" errorTitle="Tipo de proyecto" error="Seleccionar entre Residencial y No residencial o mixto." promptTitle="Tipo de proyecto" sqref="B12:D12" xr:uid="{00000000-0002-0000-0100-000000000000}">
      <formula1>"Residencial, No residencial o mixto"</formula1>
    </dataValidation>
  </dataValidations>
  <printOptions horizontalCentered="1"/>
  <pageMargins left="1.1811023622047245" right="1.1811023622047245" top="1.1811023622047245" bottom="1.1811023622047245" header="0.31496062992125984" footer="0.31496062992125984"/>
  <pageSetup paperSize="9" scale="93" orientation="portrait" r:id="rId1"/>
  <colBreaks count="1" manualBreakCount="1">
    <brk id="4" max="65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83"/>
  <sheetViews>
    <sheetView view="pageBreakPreview" topLeftCell="A19" zoomScaleNormal="100" zoomScaleSheetLayoutView="100" workbookViewId="0">
      <selection activeCell="B61" sqref="B61:C61"/>
    </sheetView>
  </sheetViews>
  <sheetFormatPr baseColWidth="10" defaultRowHeight="12.75" x14ac:dyDescent="0.2"/>
  <cols>
    <col min="1" max="1" width="42" style="1" customWidth="1"/>
    <col min="2" max="2" width="16.5703125" style="1" bestFit="1" customWidth="1"/>
    <col min="3" max="3" width="10.85546875" style="1" bestFit="1" customWidth="1"/>
    <col min="4" max="5" width="11.42578125" style="1"/>
    <col min="6" max="6" width="8.28515625" style="1" customWidth="1"/>
    <col min="7" max="7" width="14.42578125" style="1" bestFit="1" customWidth="1"/>
    <col min="8" max="9" width="17.7109375" style="1" bestFit="1" customWidth="1"/>
    <col min="10" max="10" width="14.42578125" style="1" bestFit="1" customWidth="1"/>
    <col min="11" max="11" width="9.28515625" style="1" customWidth="1"/>
    <col min="12" max="12" width="12.85546875" style="1" customWidth="1"/>
    <col min="13" max="13" width="10.140625" style="1" bestFit="1" customWidth="1"/>
    <col min="14" max="14" width="20" style="1" customWidth="1"/>
    <col min="15" max="15" width="14.5703125" style="1" bestFit="1" customWidth="1"/>
    <col min="16" max="16" width="5.140625" style="1" bestFit="1" customWidth="1"/>
    <col min="17" max="17" width="14.5703125" style="1" bestFit="1" customWidth="1"/>
    <col min="18" max="16384" width="11.42578125" style="1"/>
  </cols>
  <sheetData>
    <row r="1" spans="1:17" ht="12.75" customHeight="1" x14ac:dyDescent="0.2">
      <c r="A1" s="102" t="s">
        <v>22</v>
      </c>
      <c r="B1" s="102"/>
      <c r="C1" s="2"/>
      <c r="D1" s="3"/>
      <c r="E1" s="3"/>
      <c r="F1" s="90" t="s">
        <v>81</v>
      </c>
      <c r="G1" s="91"/>
      <c r="H1" s="91"/>
      <c r="I1" s="91"/>
      <c r="J1" s="91"/>
      <c r="K1" s="92"/>
      <c r="L1" s="81" t="s">
        <v>24</v>
      </c>
      <c r="M1" s="81"/>
      <c r="N1" s="78" t="s">
        <v>35</v>
      </c>
      <c r="O1" s="78" t="s">
        <v>52</v>
      </c>
      <c r="P1" s="78" t="s">
        <v>30</v>
      </c>
      <c r="Q1" s="78" t="s">
        <v>77</v>
      </c>
    </row>
    <row r="2" spans="1:17" ht="25.5" customHeight="1" x14ac:dyDescent="0.2">
      <c r="A2" s="102" t="s">
        <v>54</v>
      </c>
      <c r="B2" s="102"/>
      <c r="C2" s="102"/>
      <c r="D2" s="3"/>
      <c r="E2" s="3"/>
      <c r="F2" s="20" t="s">
        <v>25</v>
      </c>
      <c r="G2" s="20" t="s">
        <v>26</v>
      </c>
      <c r="H2" s="20" t="s">
        <v>30</v>
      </c>
      <c r="I2" s="20" t="s">
        <v>27</v>
      </c>
      <c r="J2" s="20" t="s">
        <v>28</v>
      </c>
      <c r="K2" s="20" t="s">
        <v>29</v>
      </c>
      <c r="L2" s="20" t="s">
        <v>36</v>
      </c>
      <c r="M2" s="20" t="s">
        <v>37</v>
      </c>
      <c r="N2" s="20"/>
      <c r="O2" s="20"/>
      <c r="P2" s="20"/>
      <c r="Q2" s="20"/>
    </row>
    <row r="3" spans="1:17" x14ac:dyDescent="0.2">
      <c r="A3" s="59"/>
      <c r="B3" s="59"/>
      <c r="C3" s="2"/>
      <c r="F3" s="80">
        <v>15</v>
      </c>
      <c r="G3" s="79">
        <v>2.5</v>
      </c>
      <c r="H3" s="79">
        <v>160</v>
      </c>
      <c r="I3" s="79">
        <f>+G3/H3</f>
        <v>1.5625E-2</v>
      </c>
      <c r="J3" s="79">
        <f>I3*1.6</f>
        <v>2.5000000000000001E-2</v>
      </c>
      <c r="K3" s="79">
        <f>+G3*1.25</f>
        <v>3.125</v>
      </c>
      <c r="L3" s="16">
        <v>0</v>
      </c>
      <c r="M3" s="16">
        <f t="shared" ref="M3:M10" si="0">+G3</f>
        <v>2.5</v>
      </c>
      <c r="N3" s="80" t="str">
        <f t="shared" ref="N3:N10" si="1">IF(AND($B$23&gt;L3,$B$23&lt;M3),F3,"")</f>
        <v/>
      </c>
      <c r="O3" s="21" t="str">
        <f t="shared" ref="O3:O10" si="2">IF(N3="","",($B$23/3600)/((F3/2000)^2*PI()))</f>
        <v/>
      </c>
      <c r="P3" s="46" t="str">
        <f t="shared" ref="P3:P7" si="3">IF(N3="","",H3)</f>
        <v/>
      </c>
      <c r="Q3" s="21" t="s">
        <v>69</v>
      </c>
    </row>
    <row r="4" spans="1:17" x14ac:dyDescent="0.2">
      <c r="A4" s="105" t="s">
        <v>70</v>
      </c>
      <c r="B4" s="105"/>
      <c r="C4" s="105"/>
      <c r="D4" s="105"/>
      <c r="F4" s="80">
        <v>20</v>
      </c>
      <c r="G4" s="79">
        <v>4</v>
      </c>
      <c r="H4" s="79">
        <v>160</v>
      </c>
      <c r="I4" s="79">
        <f t="shared" ref="I4:I10" si="4">+G4/H4</f>
        <v>2.5000000000000001E-2</v>
      </c>
      <c r="J4" s="79">
        <f t="shared" ref="J4:J10" si="5">I4*1.6</f>
        <v>4.0000000000000008E-2</v>
      </c>
      <c r="K4" s="79">
        <f t="shared" ref="K4:K10" si="6">+G4*1.25</f>
        <v>5</v>
      </c>
      <c r="L4" s="16">
        <f t="shared" ref="L4:L10" si="7">+J4*5</f>
        <v>0.20000000000000004</v>
      </c>
      <c r="M4" s="16">
        <f t="shared" si="0"/>
        <v>4</v>
      </c>
      <c r="N4" s="80" t="str">
        <f t="shared" si="1"/>
        <v/>
      </c>
      <c r="O4" s="21" t="str">
        <f t="shared" si="2"/>
        <v/>
      </c>
      <c r="P4" s="46" t="str">
        <f t="shared" si="3"/>
        <v/>
      </c>
      <c r="Q4" s="21" t="s">
        <v>69</v>
      </c>
    </row>
    <row r="5" spans="1:17" x14ac:dyDescent="0.2">
      <c r="A5" s="105"/>
      <c r="B5" s="105"/>
      <c r="C5" s="105"/>
      <c r="D5" s="105"/>
      <c r="F5" s="80">
        <v>25</v>
      </c>
      <c r="G5" s="79">
        <v>6.3</v>
      </c>
      <c r="H5" s="79">
        <v>160</v>
      </c>
      <c r="I5" s="79">
        <f t="shared" si="4"/>
        <v>3.9375E-2</v>
      </c>
      <c r="J5" s="79">
        <f t="shared" si="5"/>
        <v>6.3E-2</v>
      </c>
      <c r="K5" s="79">
        <f t="shared" si="6"/>
        <v>7.875</v>
      </c>
      <c r="L5" s="16">
        <f t="shared" si="7"/>
        <v>0.315</v>
      </c>
      <c r="M5" s="16">
        <f t="shared" si="0"/>
        <v>6.3</v>
      </c>
      <c r="N5" s="80" t="str">
        <f t="shared" si="1"/>
        <v/>
      </c>
      <c r="O5" s="21" t="str">
        <f t="shared" si="2"/>
        <v/>
      </c>
      <c r="P5" s="46" t="str">
        <f t="shared" si="3"/>
        <v/>
      </c>
      <c r="Q5" s="21" t="s">
        <v>69</v>
      </c>
    </row>
    <row r="6" spans="1:17" x14ac:dyDescent="0.2">
      <c r="F6" s="80">
        <v>40</v>
      </c>
      <c r="G6" s="14">
        <v>16</v>
      </c>
      <c r="H6" s="79">
        <v>160</v>
      </c>
      <c r="I6" s="79">
        <f t="shared" si="4"/>
        <v>0.1</v>
      </c>
      <c r="J6" s="79">
        <f t="shared" si="5"/>
        <v>0.16000000000000003</v>
      </c>
      <c r="K6" s="79">
        <f t="shared" si="6"/>
        <v>20</v>
      </c>
      <c r="L6" s="16">
        <f t="shared" si="7"/>
        <v>0.80000000000000016</v>
      </c>
      <c r="M6" s="16">
        <f t="shared" si="0"/>
        <v>16</v>
      </c>
      <c r="N6" s="80" t="str">
        <f t="shared" si="1"/>
        <v/>
      </c>
      <c r="O6" s="21" t="str">
        <f t="shared" si="2"/>
        <v/>
      </c>
      <c r="P6" s="46" t="str">
        <f t="shared" si="3"/>
        <v/>
      </c>
      <c r="Q6" s="21" t="s">
        <v>69</v>
      </c>
    </row>
    <row r="7" spans="1:17" x14ac:dyDescent="0.2">
      <c r="A7" s="1" t="s">
        <v>31</v>
      </c>
      <c r="F7" s="80">
        <v>50</v>
      </c>
      <c r="G7" s="14">
        <v>25</v>
      </c>
      <c r="H7" s="79">
        <v>160</v>
      </c>
      <c r="I7" s="79">
        <f t="shared" si="4"/>
        <v>0.15625</v>
      </c>
      <c r="J7" s="79">
        <f t="shared" si="5"/>
        <v>0.25</v>
      </c>
      <c r="K7" s="79">
        <f t="shared" si="6"/>
        <v>31.25</v>
      </c>
      <c r="L7" s="16">
        <f t="shared" si="7"/>
        <v>1.25</v>
      </c>
      <c r="M7" s="16">
        <f t="shared" si="0"/>
        <v>25</v>
      </c>
      <c r="N7" s="80" t="str">
        <f t="shared" si="1"/>
        <v/>
      </c>
      <c r="O7" s="21" t="str">
        <f t="shared" si="2"/>
        <v/>
      </c>
      <c r="P7" s="46" t="str">
        <f t="shared" si="3"/>
        <v/>
      </c>
      <c r="Q7" s="21" t="s">
        <v>69</v>
      </c>
    </row>
    <row r="8" spans="1:17" x14ac:dyDescent="0.2">
      <c r="A8" s="12" t="s">
        <v>32</v>
      </c>
      <c r="B8" s="84"/>
      <c r="C8" s="84"/>
      <c r="F8" s="80">
        <v>80</v>
      </c>
      <c r="G8" s="14">
        <v>63</v>
      </c>
      <c r="H8" s="79">
        <v>160</v>
      </c>
      <c r="I8" s="79">
        <f t="shared" si="4"/>
        <v>0.39374999999999999</v>
      </c>
      <c r="J8" s="79">
        <f t="shared" si="5"/>
        <v>0.63</v>
      </c>
      <c r="K8" s="79">
        <f t="shared" si="6"/>
        <v>78.75</v>
      </c>
      <c r="L8" s="16">
        <f t="shared" si="7"/>
        <v>3.15</v>
      </c>
      <c r="M8" s="16">
        <f t="shared" si="0"/>
        <v>63</v>
      </c>
      <c r="N8" s="80" t="str">
        <f t="shared" si="1"/>
        <v/>
      </c>
      <c r="O8" s="21" t="str">
        <f t="shared" si="2"/>
        <v/>
      </c>
      <c r="P8" s="46" t="str">
        <f>IF(N8="","",H8)</f>
        <v/>
      </c>
      <c r="Q8" s="21" t="s">
        <v>69</v>
      </c>
    </row>
    <row r="9" spans="1:17" x14ac:dyDescent="0.2">
      <c r="A9" s="12" t="s">
        <v>33</v>
      </c>
      <c r="B9" s="84"/>
      <c r="C9" s="84"/>
      <c r="F9" s="80">
        <v>100</v>
      </c>
      <c r="G9" s="14">
        <v>100</v>
      </c>
      <c r="H9" s="79">
        <v>160</v>
      </c>
      <c r="I9" s="79">
        <f t="shared" si="4"/>
        <v>0.625</v>
      </c>
      <c r="J9" s="79">
        <f t="shared" si="5"/>
        <v>1</v>
      </c>
      <c r="K9" s="79">
        <f t="shared" si="6"/>
        <v>125</v>
      </c>
      <c r="L9" s="16">
        <f t="shared" si="7"/>
        <v>5</v>
      </c>
      <c r="M9" s="16">
        <f t="shared" si="0"/>
        <v>100</v>
      </c>
      <c r="N9" s="80" t="str">
        <f t="shared" si="1"/>
        <v/>
      </c>
      <c r="O9" s="21" t="str">
        <f t="shared" si="2"/>
        <v/>
      </c>
      <c r="P9" s="46" t="str">
        <f t="shared" ref="P9:P10" si="8">IF(N9="","",H9)</f>
        <v/>
      </c>
      <c r="Q9" s="21" t="s">
        <v>69</v>
      </c>
    </row>
    <row r="10" spans="1:17" x14ac:dyDescent="0.2">
      <c r="A10" s="12" t="s">
        <v>34</v>
      </c>
      <c r="B10" s="110"/>
      <c r="C10" s="110"/>
      <c r="F10" s="80">
        <v>150</v>
      </c>
      <c r="G10" s="14">
        <v>160</v>
      </c>
      <c r="H10" s="79">
        <v>160</v>
      </c>
      <c r="I10" s="79">
        <f t="shared" si="4"/>
        <v>1</v>
      </c>
      <c r="J10" s="79">
        <f t="shared" si="5"/>
        <v>1.6</v>
      </c>
      <c r="K10" s="79">
        <f t="shared" si="6"/>
        <v>200</v>
      </c>
      <c r="L10" s="16">
        <f t="shared" si="7"/>
        <v>8</v>
      </c>
      <c r="M10" s="16">
        <f t="shared" si="0"/>
        <v>160</v>
      </c>
      <c r="N10" s="80" t="str">
        <f t="shared" si="1"/>
        <v/>
      </c>
      <c r="O10" s="21" t="str">
        <f t="shared" si="2"/>
        <v/>
      </c>
      <c r="P10" s="46" t="str">
        <f t="shared" si="8"/>
        <v/>
      </c>
      <c r="Q10" s="21" t="s">
        <v>69</v>
      </c>
    </row>
    <row r="11" spans="1:17" x14ac:dyDescent="0.2">
      <c r="F11" s="38"/>
      <c r="G11" s="39"/>
      <c r="H11" s="40"/>
      <c r="I11" s="41"/>
      <c r="J11" s="41"/>
      <c r="K11" s="41"/>
      <c r="L11" s="41"/>
      <c r="M11" s="47" t="s">
        <v>38</v>
      </c>
      <c r="N11" s="48">
        <f>MIN(N3:N10)</f>
        <v>0</v>
      </c>
      <c r="O11" s="49" t="e">
        <f>VLOOKUP(N11,N3:O10,2,0)</f>
        <v>#N/A</v>
      </c>
      <c r="P11" s="50" t="e">
        <f>VLOOKUP(N11,N3:P10,3,0)</f>
        <v>#N/A</v>
      </c>
      <c r="Q11" s="49" t="e">
        <f>VLOOKUP(N11,N3:Q10,4,0)</f>
        <v>#N/A</v>
      </c>
    </row>
    <row r="12" spans="1:17" x14ac:dyDescent="0.2">
      <c r="A12" s="1" t="s">
        <v>43</v>
      </c>
      <c r="F12" s="51"/>
      <c r="G12" s="52"/>
      <c r="H12" s="53"/>
      <c r="I12" s="54"/>
      <c r="J12" s="54"/>
      <c r="K12" s="54"/>
      <c r="L12" s="54"/>
      <c r="M12" s="42"/>
      <c r="N12" s="42"/>
      <c r="O12" s="38"/>
      <c r="P12" s="43"/>
      <c r="Q12" s="45"/>
    </row>
    <row r="13" spans="1:17" ht="12.75" customHeight="1" x14ac:dyDescent="0.2">
      <c r="A13" s="4" t="s">
        <v>83</v>
      </c>
      <c r="B13" s="88" t="s">
        <v>75</v>
      </c>
      <c r="C13" s="88"/>
      <c r="F13" s="90" t="s">
        <v>97</v>
      </c>
      <c r="G13" s="91"/>
      <c r="H13" s="91"/>
      <c r="I13" s="91"/>
      <c r="J13" s="91"/>
      <c r="K13" s="92"/>
      <c r="L13" s="81" t="s">
        <v>24</v>
      </c>
      <c r="M13" s="81"/>
      <c r="N13" s="78" t="s">
        <v>35</v>
      </c>
      <c r="O13" s="78" t="s">
        <v>52</v>
      </c>
      <c r="P13" s="78" t="s">
        <v>30</v>
      </c>
      <c r="Q13" s="78" t="s">
        <v>77</v>
      </c>
    </row>
    <row r="14" spans="1:17" x14ac:dyDescent="0.2">
      <c r="A14" s="4" t="s">
        <v>74</v>
      </c>
      <c r="B14" s="101">
        <v>1</v>
      </c>
      <c r="C14" s="101"/>
      <c r="F14" s="20" t="s">
        <v>25</v>
      </c>
      <c r="G14" s="20" t="s">
        <v>26</v>
      </c>
      <c r="H14" s="20" t="s">
        <v>30</v>
      </c>
      <c r="I14" s="20" t="s">
        <v>27</v>
      </c>
      <c r="J14" s="20" t="s">
        <v>28</v>
      </c>
      <c r="K14" s="20" t="s">
        <v>29</v>
      </c>
      <c r="L14" s="20" t="s">
        <v>36</v>
      </c>
      <c r="M14" s="20" t="s">
        <v>37</v>
      </c>
      <c r="N14" s="20"/>
      <c r="O14" s="20"/>
      <c r="P14" s="20"/>
      <c r="Q14" s="20"/>
    </row>
    <row r="15" spans="1:17" s="8" customFormat="1" x14ac:dyDescent="0.2">
      <c r="A15" s="4" t="s">
        <v>45</v>
      </c>
      <c r="B15" s="116">
        <v>1</v>
      </c>
      <c r="C15" s="116"/>
      <c r="D15" s="1"/>
      <c r="F15" s="80">
        <v>25</v>
      </c>
      <c r="G15" s="14">
        <v>6.3</v>
      </c>
      <c r="H15" s="79">
        <v>500</v>
      </c>
      <c r="I15" s="79">
        <f t="shared" ref="I15:I16" si="9">+G15/H15</f>
        <v>1.26E-2</v>
      </c>
      <c r="J15" s="79">
        <f t="shared" ref="J15:J20" si="10">I15*1.6</f>
        <v>2.0160000000000001E-2</v>
      </c>
      <c r="K15" s="79">
        <f t="shared" ref="K15:K20" si="11">+G15*1.25</f>
        <v>7.875</v>
      </c>
      <c r="L15" s="16">
        <f t="shared" ref="L15:L20" si="12">+J15*5</f>
        <v>0.1008</v>
      </c>
      <c r="M15" s="16">
        <f t="shared" ref="M15:M20" si="13">+G15</f>
        <v>6.3</v>
      </c>
      <c r="N15" s="80" t="str">
        <f t="shared" ref="N15:N20" si="14">IF(AND($B$23&gt;L15,$B$23&lt;M15),F15,"")</f>
        <v/>
      </c>
      <c r="O15" s="21" t="str">
        <f t="shared" ref="O15:O20" si="15">IF(N15="","",($B$23/3600)/((F15/2000)^2*PI()))</f>
        <v/>
      </c>
      <c r="P15" s="46" t="str">
        <f t="shared" ref="P15:P17" si="16">IF(N15="","",H15)</f>
        <v/>
      </c>
      <c r="Q15" s="21" t="s">
        <v>96</v>
      </c>
    </row>
    <row r="16" spans="1:17" s="8" customFormat="1" x14ac:dyDescent="0.2">
      <c r="A16" s="4" t="s">
        <v>72</v>
      </c>
      <c r="B16" s="100">
        <f>IF(B13="Residencial",VLOOKUP(B14,$N$25:$O$30,2,0),"")</f>
        <v>10.730293134258917</v>
      </c>
      <c r="C16" s="100"/>
      <c r="D16" s="1"/>
      <c r="F16" s="80">
        <v>40</v>
      </c>
      <c r="G16" s="14">
        <v>10</v>
      </c>
      <c r="H16" s="79">
        <v>500</v>
      </c>
      <c r="I16" s="79">
        <f t="shared" si="9"/>
        <v>0.02</v>
      </c>
      <c r="J16" s="79">
        <f t="shared" si="10"/>
        <v>3.2000000000000001E-2</v>
      </c>
      <c r="K16" s="79">
        <f t="shared" si="11"/>
        <v>12.5</v>
      </c>
      <c r="L16" s="16">
        <f t="shared" si="12"/>
        <v>0.16</v>
      </c>
      <c r="M16" s="16">
        <f t="shared" si="13"/>
        <v>10</v>
      </c>
      <c r="N16" s="80" t="str">
        <f t="shared" si="14"/>
        <v/>
      </c>
      <c r="O16" s="21" t="str">
        <f t="shared" si="15"/>
        <v/>
      </c>
      <c r="P16" s="46" t="str">
        <f t="shared" si="16"/>
        <v/>
      </c>
      <c r="Q16" s="21" t="s">
        <v>96</v>
      </c>
    </row>
    <row r="17" spans="1:17" s="8" customFormat="1" x14ac:dyDescent="0.2">
      <c r="A17" s="4" t="s">
        <v>84</v>
      </c>
      <c r="B17" s="106">
        <f>IF(B13="Residencial",B15*B16/30,"")</f>
        <v>0.35767643780863057</v>
      </c>
      <c r="C17" s="107"/>
      <c r="D17" s="1"/>
      <c r="F17" s="80">
        <v>50</v>
      </c>
      <c r="G17" s="14">
        <v>25</v>
      </c>
      <c r="H17" s="79">
        <v>500</v>
      </c>
      <c r="I17" s="79">
        <f>+G17/H17</f>
        <v>0.05</v>
      </c>
      <c r="J17" s="79">
        <f t="shared" si="10"/>
        <v>8.0000000000000016E-2</v>
      </c>
      <c r="K17" s="79">
        <f t="shared" si="11"/>
        <v>31.25</v>
      </c>
      <c r="L17" s="16">
        <f t="shared" si="12"/>
        <v>0.40000000000000008</v>
      </c>
      <c r="M17" s="16">
        <f t="shared" si="13"/>
        <v>25</v>
      </c>
      <c r="N17" s="80" t="str">
        <f t="shared" si="14"/>
        <v/>
      </c>
      <c r="O17" s="21" t="str">
        <f t="shared" si="15"/>
        <v/>
      </c>
      <c r="P17" s="46" t="str">
        <f t="shared" si="16"/>
        <v/>
      </c>
      <c r="Q17" s="21" t="s">
        <v>96</v>
      </c>
    </row>
    <row r="18" spans="1:17" s="8" customFormat="1" x14ac:dyDescent="0.2">
      <c r="A18" s="4" t="s">
        <v>46</v>
      </c>
      <c r="B18" s="108">
        <f>IF(B13="Residencial",B17,0)</f>
        <v>0.35767643780863057</v>
      </c>
      <c r="C18" s="109"/>
      <c r="D18" s="1"/>
      <c r="F18" s="80">
        <v>80</v>
      </c>
      <c r="G18" s="14">
        <v>63</v>
      </c>
      <c r="H18" s="79">
        <v>500</v>
      </c>
      <c r="I18" s="79">
        <f t="shared" ref="I18:I20" si="17">+G18/H18</f>
        <v>0.126</v>
      </c>
      <c r="J18" s="79">
        <f t="shared" si="10"/>
        <v>0.2016</v>
      </c>
      <c r="K18" s="79">
        <f t="shared" si="11"/>
        <v>78.75</v>
      </c>
      <c r="L18" s="16">
        <f t="shared" si="12"/>
        <v>1.008</v>
      </c>
      <c r="M18" s="16">
        <f t="shared" si="13"/>
        <v>63</v>
      </c>
      <c r="N18" s="80" t="str">
        <f t="shared" si="14"/>
        <v/>
      </c>
      <c r="O18" s="21" t="str">
        <f t="shared" si="15"/>
        <v/>
      </c>
      <c r="P18" s="46" t="str">
        <f>IF(N18="","",H18)</f>
        <v/>
      </c>
      <c r="Q18" s="21" t="s">
        <v>96</v>
      </c>
    </row>
    <row r="19" spans="1:17" s="8" customFormat="1" x14ac:dyDescent="0.2">
      <c r="A19" s="61"/>
      <c r="B19" s="1"/>
      <c r="D19" s="1"/>
      <c r="F19" s="80">
        <v>100</v>
      </c>
      <c r="G19" s="14">
        <v>100</v>
      </c>
      <c r="H19" s="79">
        <v>500</v>
      </c>
      <c r="I19" s="79">
        <f t="shared" si="17"/>
        <v>0.2</v>
      </c>
      <c r="J19" s="79">
        <f t="shared" si="10"/>
        <v>0.32000000000000006</v>
      </c>
      <c r="K19" s="79">
        <f t="shared" si="11"/>
        <v>125</v>
      </c>
      <c r="L19" s="16">
        <f t="shared" si="12"/>
        <v>1.6000000000000003</v>
      </c>
      <c r="M19" s="16">
        <f t="shared" si="13"/>
        <v>100</v>
      </c>
      <c r="N19" s="80" t="str">
        <f t="shared" si="14"/>
        <v/>
      </c>
      <c r="O19" s="21" t="str">
        <f t="shared" si="15"/>
        <v/>
      </c>
      <c r="P19" s="46" t="str">
        <f t="shared" ref="P19:P20" si="18">IF(N19="","",H19)</f>
        <v/>
      </c>
      <c r="Q19" s="21" t="s">
        <v>96</v>
      </c>
    </row>
    <row r="20" spans="1:17" s="8" customFormat="1" x14ac:dyDescent="0.2">
      <c r="A20" s="1" t="s">
        <v>55</v>
      </c>
      <c r="B20" s="1"/>
      <c r="D20" s="1"/>
      <c r="F20" s="80">
        <v>150</v>
      </c>
      <c r="G20" s="14">
        <v>250</v>
      </c>
      <c r="H20" s="79">
        <v>500</v>
      </c>
      <c r="I20" s="79">
        <f t="shared" si="17"/>
        <v>0.5</v>
      </c>
      <c r="J20" s="79">
        <f t="shared" si="10"/>
        <v>0.8</v>
      </c>
      <c r="K20" s="79">
        <f t="shared" si="11"/>
        <v>312.5</v>
      </c>
      <c r="L20" s="16">
        <f t="shared" si="12"/>
        <v>4</v>
      </c>
      <c r="M20" s="16">
        <f t="shared" si="13"/>
        <v>250</v>
      </c>
      <c r="N20" s="80" t="str">
        <f t="shared" si="14"/>
        <v/>
      </c>
      <c r="O20" s="21" t="str">
        <f t="shared" si="15"/>
        <v/>
      </c>
      <c r="P20" s="46" t="str">
        <f t="shared" si="18"/>
        <v/>
      </c>
      <c r="Q20" s="21" t="s">
        <v>96</v>
      </c>
    </row>
    <row r="21" spans="1:17" s="8" customFormat="1" x14ac:dyDescent="0.2">
      <c r="A21" s="4" t="s">
        <v>47</v>
      </c>
      <c r="B21" s="98">
        <v>10</v>
      </c>
      <c r="C21" s="98"/>
      <c r="D21" s="1"/>
      <c r="F21" s="38"/>
      <c r="G21" s="63"/>
      <c r="H21" s="40"/>
      <c r="I21" s="41"/>
      <c r="J21" s="41"/>
      <c r="K21" s="41"/>
      <c r="L21" s="41"/>
      <c r="M21" s="47" t="s">
        <v>38</v>
      </c>
      <c r="N21" s="48">
        <f>MIN(N15:N20)</f>
        <v>0</v>
      </c>
      <c r="O21" s="49" t="e">
        <f>VLOOKUP(N21,N15:O20,2,0)</f>
        <v>#N/A</v>
      </c>
      <c r="P21" s="50" t="e">
        <f>VLOOKUP(N21,N15:P20,3,0)</f>
        <v>#N/A</v>
      </c>
      <c r="Q21" s="49" t="e">
        <f>VLOOKUP(N21,N15:Q20,4,0)</f>
        <v>#N/A</v>
      </c>
    </row>
    <row r="22" spans="1:17" s="8" customFormat="1" x14ac:dyDescent="0.2">
      <c r="A22" s="5" t="s">
        <v>48</v>
      </c>
      <c r="B22" s="99">
        <f>+B18/B21</f>
        <v>3.5767643780863057E-2</v>
      </c>
      <c r="C22" s="99"/>
      <c r="D22" s="1"/>
    </row>
    <row r="23" spans="1:17" s="8" customFormat="1" x14ac:dyDescent="0.2">
      <c r="A23" s="61"/>
      <c r="B23" s="62"/>
      <c r="C23" s="62"/>
      <c r="F23" s="85" t="s">
        <v>40</v>
      </c>
      <c r="G23" s="85"/>
      <c r="H23" s="85"/>
      <c r="I23" s="85"/>
      <c r="J23" s="85"/>
      <c r="K23" s="85"/>
      <c r="L23" s="85"/>
      <c r="N23" s="85" t="s">
        <v>80</v>
      </c>
      <c r="O23" s="85"/>
    </row>
    <row r="24" spans="1:17" s="8" customFormat="1" x14ac:dyDescent="0.2">
      <c r="A24" s="8" t="s">
        <v>58</v>
      </c>
      <c r="F24" s="20" t="s">
        <v>25</v>
      </c>
      <c r="G24" s="20" t="s">
        <v>39</v>
      </c>
      <c r="H24" s="20" t="s">
        <v>41</v>
      </c>
      <c r="I24" s="20" t="s">
        <v>42</v>
      </c>
      <c r="J24" s="20" t="s">
        <v>40</v>
      </c>
      <c r="K24" s="20" t="s">
        <v>52</v>
      </c>
      <c r="L24" s="20" t="s">
        <v>95</v>
      </c>
      <c r="N24" s="79" t="s">
        <v>73</v>
      </c>
      <c r="O24" s="32" t="s">
        <v>72</v>
      </c>
    </row>
    <row r="25" spans="1:17" s="8" customFormat="1" x14ac:dyDescent="0.2">
      <c r="A25" s="24" t="s">
        <v>0</v>
      </c>
      <c r="B25" s="60" t="s">
        <v>1</v>
      </c>
      <c r="C25" s="60" t="s">
        <v>23</v>
      </c>
      <c r="D25" s="60" t="s">
        <v>66</v>
      </c>
      <c r="F25" s="64">
        <v>20</v>
      </c>
      <c r="G25" s="69">
        <f>+F25-2.3*2</f>
        <v>15.4</v>
      </c>
      <c r="H25" s="71">
        <v>2</v>
      </c>
      <c r="I25" s="72">
        <f>PI()*(G25/2/1000)^2*H25*1000</f>
        <v>0.37253005686267771</v>
      </c>
      <c r="J25" s="64">
        <f>IF($B$58*1000/60/60&lt;=I25,F25,"")</f>
        <v>20</v>
      </c>
      <c r="K25" s="70">
        <f>IF(J25="","",($B$58/3600)/((G25/2000)^2*PI()))</f>
        <v>0.59020986135526665</v>
      </c>
      <c r="L25" s="72" t="s">
        <v>93</v>
      </c>
      <c r="N25" s="79">
        <v>1</v>
      </c>
      <c r="O25" s="33">
        <v>10.730293134258917</v>
      </c>
    </row>
    <row r="26" spans="1:17" s="8" customFormat="1" x14ac:dyDescent="0.2">
      <c r="A26" s="25" t="s">
        <v>2</v>
      </c>
      <c r="B26" s="29">
        <v>0.05</v>
      </c>
      <c r="C26" s="22">
        <v>2</v>
      </c>
      <c r="D26" s="29">
        <f>IF(C26="","",C26*B26)</f>
        <v>0.1</v>
      </c>
      <c r="F26" s="64">
        <v>32</v>
      </c>
      <c r="G26" s="69">
        <v>26</v>
      </c>
      <c r="H26" s="71">
        <v>2</v>
      </c>
      <c r="I26" s="72">
        <f t="shared" ref="I26:I33" si="19">PI()*(G26/2/1000)^2*H26*1000</f>
        <v>1.06185831691335</v>
      </c>
      <c r="J26" s="64">
        <f t="shared" ref="J26:J33" si="20">IF($B$58*1000/60/60&lt;=I26,F26,"")</f>
        <v>32</v>
      </c>
      <c r="K26" s="70">
        <f t="shared" ref="K26:K33" si="21">IF(J26="","",($B$58/3600)/((G26/2000)^2*PI()))</f>
        <v>0.20706238272043651</v>
      </c>
      <c r="L26" s="74" t="s">
        <v>94</v>
      </c>
      <c r="N26" s="79">
        <v>2</v>
      </c>
      <c r="O26" s="33">
        <v>11.804445384528897</v>
      </c>
    </row>
    <row r="27" spans="1:17" s="8" customFormat="1" x14ac:dyDescent="0.2">
      <c r="A27" s="26" t="s">
        <v>3</v>
      </c>
      <c r="B27" s="29">
        <v>0.1</v>
      </c>
      <c r="C27" s="22"/>
      <c r="D27" s="29" t="str">
        <f t="shared" ref="D27:D47" si="22">IF(C27="","",C27*B27)</f>
        <v/>
      </c>
      <c r="F27" s="64">
        <v>40</v>
      </c>
      <c r="G27" s="69">
        <v>32.6</v>
      </c>
      <c r="H27" s="71">
        <v>2</v>
      </c>
      <c r="I27" s="72">
        <f t="shared" si="19"/>
        <v>1.6693795042645447</v>
      </c>
      <c r="J27" s="64">
        <f t="shared" si="20"/>
        <v>40</v>
      </c>
      <c r="K27" s="70">
        <f t="shared" si="21"/>
        <v>0.13170816620781267</v>
      </c>
      <c r="L27" s="74" t="s">
        <v>94</v>
      </c>
      <c r="N27" s="79">
        <v>3</v>
      </c>
      <c r="O27" s="33">
        <v>11.728551039837624</v>
      </c>
    </row>
    <row r="28" spans="1:17" s="8" customFormat="1" x14ac:dyDescent="0.2">
      <c r="A28" s="26" t="s">
        <v>4</v>
      </c>
      <c r="B28" s="29">
        <v>0.2</v>
      </c>
      <c r="C28" s="22"/>
      <c r="D28" s="29" t="str">
        <f t="shared" si="22"/>
        <v/>
      </c>
      <c r="F28" s="75">
        <v>63</v>
      </c>
      <c r="G28" s="66">
        <v>51.4</v>
      </c>
      <c r="H28" s="73">
        <v>2</v>
      </c>
      <c r="I28" s="74">
        <f t="shared" si="19"/>
        <v>4.1499810635390455</v>
      </c>
      <c r="J28" s="64">
        <f t="shared" si="20"/>
        <v>63</v>
      </c>
      <c r="K28" s="70">
        <f t="shared" si="21"/>
        <v>5.2981184695837576E-2</v>
      </c>
      <c r="L28" s="74" t="s">
        <v>94</v>
      </c>
      <c r="N28" s="79">
        <v>4</v>
      </c>
      <c r="O28" s="33">
        <v>12.370839534782986</v>
      </c>
    </row>
    <row r="29" spans="1:17" s="8" customFormat="1" x14ac:dyDescent="0.2">
      <c r="A29" s="26" t="s">
        <v>5</v>
      </c>
      <c r="B29" s="29">
        <v>0.3</v>
      </c>
      <c r="C29" s="22"/>
      <c r="D29" s="29" t="str">
        <f t="shared" si="22"/>
        <v/>
      </c>
      <c r="F29" s="68">
        <v>90</v>
      </c>
      <c r="G29" s="66">
        <v>73.599999999999994</v>
      </c>
      <c r="H29" s="73">
        <v>2.5</v>
      </c>
      <c r="I29" s="74">
        <f t="shared" si="19"/>
        <v>10.636176087993602</v>
      </c>
      <c r="J29" s="64">
        <f t="shared" si="20"/>
        <v>90</v>
      </c>
      <c r="K29" s="70">
        <f t="shared" si="21"/>
        <v>2.5839986028882444E-2</v>
      </c>
      <c r="L29" s="74" t="s">
        <v>94</v>
      </c>
      <c r="N29" s="79">
        <v>5</v>
      </c>
      <c r="O29" s="33">
        <v>13.408311968390965</v>
      </c>
    </row>
    <row r="30" spans="1:17" s="8" customFormat="1" x14ac:dyDescent="0.2">
      <c r="A30" s="26" t="s">
        <v>6</v>
      </c>
      <c r="B30" s="29">
        <v>0.2</v>
      </c>
      <c r="C30" s="22"/>
      <c r="D30" s="29" t="str">
        <f t="shared" si="22"/>
        <v/>
      </c>
      <c r="F30" s="68">
        <v>125</v>
      </c>
      <c r="G30" s="66">
        <v>102.3</v>
      </c>
      <c r="H30" s="73">
        <v>2.5</v>
      </c>
      <c r="I30" s="74">
        <f t="shared" si="19"/>
        <v>20.548548863554206</v>
      </c>
      <c r="J30" s="64">
        <f t="shared" si="20"/>
        <v>125</v>
      </c>
      <c r="K30" s="70">
        <f t="shared" si="21"/>
        <v>1.3375087620029166E-2</v>
      </c>
      <c r="L30" s="74" t="s">
        <v>94</v>
      </c>
      <c r="N30" s="79">
        <v>6</v>
      </c>
      <c r="O30" s="33">
        <v>14.953433424122514</v>
      </c>
    </row>
    <row r="31" spans="1:17" s="8" customFormat="1" x14ac:dyDescent="0.2">
      <c r="A31" s="26" t="s">
        <v>7</v>
      </c>
      <c r="B31" s="29">
        <v>0.1</v>
      </c>
      <c r="C31" s="22"/>
      <c r="D31" s="29" t="str">
        <f t="shared" si="22"/>
        <v/>
      </c>
      <c r="F31" s="68">
        <v>180</v>
      </c>
      <c r="G31" s="66">
        <v>147.30000000000001</v>
      </c>
      <c r="H31" s="73">
        <v>2.5</v>
      </c>
      <c r="I31" s="74">
        <f t="shared" si="19"/>
        <v>42.602529291754564</v>
      </c>
      <c r="J31" s="64">
        <f t="shared" si="20"/>
        <v>180</v>
      </c>
      <c r="K31" s="70">
        <f t="shared" si="21"/>
        <v>6.4512282740846905E-3</v>
      </c>
      <c r="L31" s="74" t="s">
        <v>94</v>
      </c>
    </row>
    <row r="32" spans="1:17" s="8" customFormat="1" x14ac:dyDescent="0.2">
      <c r="A32" s="26" t="s">
        <v>8</v>
      </c>
      <c r="B32" s="29">
        <v>0.1</v>
      </c>
      <c r="C32" s="22"/>
      <c r="D32" s="29" t="str">
        <f t="shared" si="22"/>
        <v/>
      </c>
      <c r="F32" s="68">
        <v>250</v>
      </c>
      <c r="G32" s="66">
        <v>204.5</v>
      </c>
      <c r="H32" s="73">
        <v>2.5</v>
      </c>
      <c r="I32" s="74">
        <f t="shared" si="19"/>
        <v>82.113868857055323</v>
      </c>
      <c r="J32" s="64">
        <f t="shared" si="20"/>
        <v>250</v>
      </c>
      <c r="K32" s="70">
        <f t="shared" si="21"/>
        <v>3.3470428971375129E-3</v>
      </c>
      <c r="L32" s="74" t="s">
        <v>94</v>
      </c>
    </row>
    <row r="33" spans="1:17" s="8" customFormat="1" x14ac:dyDescent="0.2">
      <c r="A33" s="26" t="s">
        <v>9</v>
      </c>
      <c r="B33" s="29">
        <v>1.25</v>
      </c>
      <c r="C33" s="22"/>
      <c r="D33" s="29" t="str">
        <f t="shared" si="22"/>
        <v/>
      </c>
      <c r="F33" s="68">
        <v>315</v>
      </c>
      <c r="G33" s="66">
        <v>257.7</v>
      </c>
      <c r="H33" s="73">
        <v>2.5</v>
      </c>
      <c r="I33" s="74">
        <f t="shared" si="19"/>
        <v>130.39433599632133</v>
      </c>
      <c r="J33" s="64">
        <f t="shared" si="20"/>
        <v>315</v>
      </c>
      <c r="K33" s="70">
        <f t="shared" si="21"/>
        <v>2.1077498452251944E-3</v>
      </c>
      <c r="L33" s="74" t="s">
        <v>94</v>
      </c>
      <c r="M33" s="1"/>
    </row>
    <row r="34" spans="1:17" s="8" customFormat="1" x14ac:dyDescent="0.2">
      <c r="A34" s="12" t="s">
        <v>10</v>
      </c>
      <c r="B34" s="29">
        <v>0.15</v>
      </c>
      <c r="C34" s="22"/>
      <c r="D34" s="29" t="str">
        <f t="shared" si="22"/>
        <v/>
      </c>
      <c r="I34" s="67" t="s">
        <v>38</v>
      </c>
      <c r="J34" s="68">
        <f>MIN(J25:J33)</f>
        <v>20</v>
      </c>
      <c r="K34" s="49">
        <f>VLOOKUP(J34,J25:K33,2,0)</f>
        <v>0.59020986135526665</v>
      </c>
      <c r="L34" s="67" t="str">
        <f>VLOOKUP(J34,J25:L33,3,0)</f>
        <v>PE80 PN16</v>
      </c>
      <c r="P34" s="1"/>
      <c r="Q34" s="1"/>
    </row>
    <row r="35" spans="1:17" s="8" customFormat="1" x14ac:dyDescent="0.2">
      <c r="A35" s="12" t="s">
        <v>11</v>
      </c>
      <c r="B35" s="29">
        <v>0.04</v>
      </c>
      <c r="C35" s="22"/>
      <c r="D35" s="29" t="str">
        <f t="shared" si="22"/>
        <v/>
      </c>
      <c r="P35" s="1"/>
      <c r="Q35" s="1"/>
    </row>
    <row r="36" spans="1:17" s="8" customFormat="1" x14ac:dyDescent="0.2">
      <c r="A36" s="12" t="s">
        <v>12</v>
      </c>
      <c r="B36" s="29">
        <v>0.2</v>
      </c>
      <c r="C36" s="22"/>
      <c r="D36" s="29" t="str">
        <f t="shared" si="22"/>
        <v/>
      </c>
      <c r="P36" s="1"/>
      <c r="Q36" s="1"/>
    </row>
    <row r="37" spans="1:17" s="8" customFormat="1" x14ac:dyDescent="0.2">
      <c r="A37" s="12" t="s">
        <v>13</v>
      </c>
      <c r="B37" s="29">
        <v>0.3</v>
      </c>
      <c r="C37" s="22"/>
      <c r="D37" s="29" t="str">
        <f t="shared" si="22"/>
        <v/>
      </c>
      <c r="F37" s="17" t="s">
        <v>79</v>
      </c>
      <c r="G37" s="1"/>
      <c r="H37" s="1"/>
      <c r="P37" s="1"/>
      <c r="Q37" s="1"/>
    </row>
    <row r="38" spans="1:17" s="8" customFormat="1" x14ac:dyDescent="0.2">
      <c r="A38" s="12" t="s">
        <v>14</v>
      </c>
      <c r="B38" s="29">
        <v>0.15</v>
      </c>
      <c r="C38" s="22"/>
      <c r="D38" s="29" t="str">
        <f t="shared" si="22"/>
        <v/>
      </c>
      <c r="F38" s="83" t="s">
        <v>71</v>
      </c>
      <c r="G38" s="83"/>
      <c r="H38" s="83"/>
      <c r="I38" s="83"/>
      <c r="J38" s="83"/>
      <c r="K38" s="83"/>
      <c r="L38" s="83"/>
      <c r="P38" s="1"/>
      <c r="Q38" s="1"/>
    </row>
    <row r="39" spans="1:17" s="8" customFormat="1" ht="12.75" customHeight="1" x14ac:dyDescent="0.2">
      <c r="A39" s="12" t="s">
        <v>15</v>
      </c>
      <c r="B39" s="29">
        <v>0.25</v>
      </c>
      <c r="C39" s="22"/>
      <c r="D39" s="29" t="str">
        <f t="shared" si="22"/>
        <v/>
      </c>
      <c r="F39" s="117" t="s">
        <v>92</v>
      </c>
      <c r="G39" s="117"/>
      <c r="H39" s="117"/>
      <c r="I39" s="117"/>
      <c r="J39" s="117"/>
      <c r="K39" s="117"/>
      <c r="L39" s="117"/>
      <c r="P39" s="1"/>
      <c r="Q39" s="1"/>
    </row>
    <row r="40" spans="1:17" s="8" customFormat="1" ht="12.75" customHeight="1" x14ac:dyDescent="0.2">
      <c r="A40" s="12" t="s">
        <v>16</v>
      </c>
      <c r="B40" s="29">
        <v>0.2</v>
      </c>
      <c r="C40" s="22"/>
      <c r="D40" s="29" t="str">
        <f t="shared" si="22"/>
        <v/>
      </c>
      <c r="F40" s="117"/>
      <c r="G40" s="117"/>
      <c r="H40" s="117"/>
      <c r="I40" s="117"/>
      <c r="J40" s="117"/>
      <c r="K40" s="117"/>
      <c r="L40" s="117"/>
      <c r="M40" s="77"/>
      <c r="N40" s="1"/>
      <c r="O40" s="1"/>
      <c r="P40" s="1"/>
      <c r="Q40" s="1"/>
    </row>
    <row r="41" spans="1:17" x14ac:dyDescent="0.2">
      <c r="A41" s="12" t="s">
        <v>17</v>
      </c>
      <c r="B41" s="29">
        <v>0.2</v>
      </c>
      <c r="C41" s="22"/>
      <c r="D41" s="29" t="str">
        <f t="shared" si="22"/>
        <v/>
      </c>
      <c r="F41" s="117"/>
      <c r="G41" s="117"/>
      <c r="H41" s="117"/>
      <c r="I41" s="117"/>
      <c r="J41" s="117"/>
      <c r="K41" s="117"/>
      <c r="L41" s="117"/>
      <c r="M41" s="77"/>
    </row>
    <row r="42" spans="1:17" x14ac:dyDescent="0.2">
      <c r="A42" s="12" t="s">
        <v>18</v>
      </c>
      <c r="B42" s="29">
        <v>0.6</v>
      </c>
      <c r="C42" s="22"/>
      <c r="D42" s="29" t="str">
        <f t="shared" si="22"/>
        <v/>
      </c>
      <c r="M42" s="77"/>
    </row>
    <row r="43" spans="1:17" x14ac:dyDescent="0.2">
      <c r="A43" s="12" t="s">
        <v>68</v>
      </c>
      <c r="B43" s="29">
        <v>0.15</v>
      </c>
      <c r="C43" s="22"/>
      <c r="D43" s="29" t="str">
        <f t="shared" si="22"/>
        <v/>
      </c>
      <c r="M43" s="8"/>
    </row>
    <row r="44" spans="1:17" x14ac:dyDescent="0.2">
      <c r="A44" s="12" t="s">
        <v>19</v>
      </c>
      <c r="B44" s="29">
        <v>0.2</v>
      </c>
      <c r="C44" s="22"/>
      <c r="D44" s="29" t="str">
        <f t="shared" si="22"/>
        <v/>
      </c>
      <c r="M44" s="8"/>
    </row>
    <row r="45" spans="1:17" x14ac:dyDescent="0.2">
      <c r="A45" s="12" t="s">
        <v>20</v>
      </c>
      <c r="B45" s="29">
        <v>0.2</v>
      </c>
      <c r="C45" s="22"/>
      <c r="D45" s="29" t="str">
        <f t="shared" si="22"/>
        <v/>
      </c>
      <c r="M45" s="8"/>
    </row>
    <row r="46" spans="1:17" x14ac:dyDescent="0.2">
      <c r="A46" s="23"/>
      <c r="B46" s="23"/>
      <c r="C46" s="22"/>
      <c r="D46" s="29" t="str">
        <f t="shared" si="22"/>
        <v/>
      </c>
    </row>
    <row r="47" spans="1:17" x14ac:dyDescent="0.2">
      <c r="A47" s="23"/>
      <c r="B47" s="23"/>
      <c r="C47" s="22"/>
      <c r="D47" s="29" t="str">
        <f t="shared" si="22"/>
        <v/>
      </c>
    </row>
    <row r="48" spans="1:17" x14ac:dyDescent="0.2">
      <c r="A48" s="27" t="s">
        <v>21</v>
      </c>
      <c r="B48" s="12"/>
      <c r="C48" s="58">
        <f>SUM(C26:C47)</f>
        <v>2</v>
      </c>
      <c r="D48" s="30">
        <f>SUM(D26:D47)</f>
        <v>0.1</v>
      </c>
    </row>
    <row r="49" spans="1:4" x14ac:dyDescent="0.2">
      <c r="A49" s="12" t="s">
        <v>57</v>
      </c>
      <c r="B49" s="111">
        <f>1/(C48-1)^0.5</f>
        <v>1</v>
      </c>
      <c r="C49" s="111"/>
      <c r="D49" s="8"/>
    </row>
    <row r="50" spans="1:4" x14ac:dyDescent="0.2">
      <c r="A50" s="61"/>
      <c r="B50" s="62"/>
      <c r="C50" s="62"/>
    </row>
    <row r="51" spans="1:4" x14ac:dyDescent="0.2">
      <c r="A51" s="8" t="s">
        <v>61</v>
      </c>
      <c r="B51" s="8"/>
      <c r="C51" s="8"/>
      <c r="D51" s="8"/>
    </row>
    <row r="52" spans="1:4" x14ac:dyDescent="0.2">
      <c r="A52" s="12" t="s">
        <v>56</v>
      </c>
      <c r="B52" s="101">
        <v>1</v>
      </c>
      <c r="C52" s="101"/>
      <c r="D52" s="8"/>
    </row>
    <row r="53" spans="1:4" x14ac:dyDescent="0.2">
      <c r="A53" s="12" t="s">
        <v>60</v>
      </c>
      <c r="B53" s="111">
        <f>(19+B52)/(10*(B52+1))</f>
        <v>1</v>
      </c>
      <c r="C53" s="111"/>
      <c r="D53" s="8"/>
    </row>
    <row r="54" spans="1:4" x14ac:dyDescent="0.2">
      <c r="A54" s="12" t="s">
        <v>59</v>
      </c>
      <c r="B54" s="112">
        <f>D48*B52*B49*B53</f>
        <v>0.1</v>
      </c>
      <c r="C54" s="113"/>
      <c r="D54" s="8"/>
    </row>
    <row r="55" spans="1:4" x14ac:dyDescent="0.2">
      <c r="A55" s="12" t="s">
        <v>59</v>
      </c>
      <c r="B55" s="114">
        <f>B54/1000*3600</f>
        <v>0.36000000000000004</v>
      </c>
      <c r="C55" s="115"/>
      <c r="D55" s="8"/>
    </row>
    <row r="56" spans="1:4" x14ac:dyDescent="0.2">
      <c r="A56" s="8"/>
      <c r="B56" s="7"/>
      <c r="C56" s="7"/>
      <c r="D56" s="8"/>
    </row>
    <row r="57" spans="1:4" x14ac:dyDescent="0.2">
      <c r="A57" s="1" t="s">
        <v>62</v>
      </c>
      <c r="C57" s="8"/>
    </row>
    <row r="58" spans="1:4" x14ac:dyDescent="0.2">
      <c r="A58" s="5" t="s">
        <v>48</v>
      </c>
      <c r="B58" s="99">
        <f>B55+B22</f>
        <v>0.3957676437808631</v>
      </c>
      <c r="C58" s="99"/>
    </row>
    <row r="59" spans="1:4" x14ac:dyDescent="0.2">
      <c r="A59" s="6"/>
      <c r="B59" s="7"/>
      <c r="C59" s="8"/>
    </row>
    <row r="60" spans="1:4" x14ac:dyDescent="0.2">
      <c r="A60" s="6" t="s">
        <v>63</v>
      </c>
      <c r="B60" s="7"/>
      <c r="C60" s="8"/>
    </row>
    <row r="61" spans="1:4" x14ac:dyDescent="0.2">
      <c r="A61" s="15" t="s">
        <v>78</v>
      </c>
      <c r="B61" s="93" t="str">
        <f>IF(B13="Residencial",N11&amp;" mm",IF(N11&lt;=40,N11&amp;" mm",N21&amp;" mm"))</f>
        <v>0 mm</v>
      </c>
      <c r="C61" s="93"/>
    </row>
    <row r="62" spans="1:4" x14ac:dyDescent="0.2">
      <c r="A62" s="15" t="s">
        <v>49</v>
      </c>
      <c r="B62" s="89" t="str">
        <f>IFERROR(IF(B13="Residencial",Q11,IF(N11&lt;=40,Q11,Q21)),"")</f>
        <v/>
      </c>
      <c r="C62" s="89"/>
    </row>
    <row r="63" spans="1:4" x14ac:dyDescent="0.2">
      <c r="A63" s="15" t="s">
        <v>50</v>
      </c>
      <c r="B63" s="89" t="str">
        <f>IFERROR(IF(B13="Residencial",P11,IF(N11&lt;=40,P11,P21)),"")</f>
        <v/>
      </c>
      <c r="C63" s="89"/>
    </row>
    <row r="64" spans="1:4" x14ac:dyDescent="0.2">
      <c r="A64" s="15" t="s">
        <v>53</v>
      </c>
      <c r="B64" s="94" t="str">
        <f>IFERROR(IF(B13="Residencial",O11,IF(N11&lt;=40,O11,O21)),"")</f>
        <v/>
      </c>
      <c r="C64" s="95"/>
    </row>
    <row r="65" spans="1:3" x14ac:dyDescent="0.2">
      <c r="A65" s="65"/>
      <c r="B65" s="45"/>
      <c r="C65" s="45"/>
    </row>
    <row r="66" spans="1:3" x14ac:dyDescent="0.2">
      <c r="A66" s="6" t="s">
        <v>91</v>
      </c>
      <c r="B66" s="7"/>
      <c r="C66" s="8"/>
    </row>
    <row r="67" spans="1:3" x14ac:dyDescent="0.2">
      <c r="A67" s="5" t="s">
        <v>51</v>
      </c>
      <c r="B67" s="93" t="str">
        <f>CONCATENATE(J34," mm ",L34)</f>
        <v>20 mm PE80 PN16</v>
      </c>
      <c r="C67" s="93"/>
    </row>
    <row r="68" spans="1:3" x14ac:dyDescent="0.2">
      <c r="A68" s="15" t="s">
        <v>76</v>
      </c>
      <c r="B68" s="94">
        <f>K34</f>
        <v>0.59020986135526665</v>
      </c>
      <c r="C68" s="95"/>
    </row>
    <row r="69" spans="1:3" x14ac:dyDescent="0.2">
      <c r="A69" s="6"/>
      <c r="B69" s="7"/>
      <c r="C69" s="8"/>
    </row>
    <row r="70" spans="1:3" x14ac:dyDescent="0.2">
      <c r="A70" s="6"/>
      <c r="B70" s="7"/>
      <c r="C70" s="8"/>
    </row>
    <row r="71" spans="1:3" x14ac:dyDescent="0.2">
      <c r="A71" s="8"/>
      <c r="B71" s="8"/>
      <c r="C71" s="8"/>
    </row>
    <row r="72" spans="1:3" x14ac:dyDescent="0.2">
      <c r="A72" s="8"/>
      <c r="B72" s="8"/>
      <c r="C72" s="8"/>
    </row>
    <row r="73" spans="1:3" x14ac:dyDescent="0.2">
      <c r="A73" s="28"/>
      <c r="B73" s="7"/>
      <c r="C73" s="8"/>
    </row>
    <row r="74" spans="1:3" x14ac:dyDescent="0.2">
      <c r="A74" s="1" t="s">
        <v>64</v>
      </c>
      <c r="B74" s="7"/>
      <c r="C74" s="8"/>
    </row>
    <row r="75" spans="1:3" x14ac:dyDescent="0.2">
      <c r="A75" s="6"/>
      <c r="B75" s="7"/>
      <c r="C75" s="8"/>
    </row>
    <row r="76" spans="1:3" x14ac:dyDescent="0.2">
      <c r="A76" s="6"/>
      <c r="B76" s="7"/>
      <c r="C76" s="8"/>
    </row>
    <row r="77" spans="1:3" x14ac:dyDescent="0.2">
      <c r="A77" s="6"/>
      <c r="B77" s="7"/>
      <c r="C77" s="8"/>
    </row>
    <row r="78" spans="1:3" x14ac:dyDescent="0.2">
      <c r="A78" s="6"/>
      <c r="B78" s="7"/>
      <c r="C78" s="8"/>
    </row>
    <row r="79" spans="1:3" x14ac:dyDescent="0.2">
      <c r="A79" s="8"/>
      <c r="B79" s="8"/>
      <c r="C79" s="8"/>
    </row>
    <row r="80" spans="1:3" x14ac:dyDescent="0.2">
      <c r="A80" s="8"/>
      <c r="B80" s="44"/>
      <c r="C80" s="44"/>
    </row>
    <row r="81" spans="1:3" x14ac:dyDescent="0.2">
      <c r="A81" s="8"/>
      <c r="B81" s="8"/>
      <c r="C81" s="8"/>
    </row>
    <row r="82" spans="1:3" x14ac:dyDescent="0.2">
      <c r="A82" s="8"/>
      <c r="B82" s="8"/>
      <c r="C82" s="8"/>
    </row>
    <row r="83" spans="1:3" x14ac:dyDescent="0.2">
      <c r="A83" s="8"/>
      <c r="B83" s="8"/>
      <c r="C83" s="8"/>
    </row>
  </sheetData>
  <mergeCells count="32">
    <mergeCell ref="N23:O23"/>
    <mergeCell ref="B49:C49"/>
    <mergeCell ref="B21:C21"/>
    <mergeCell ref="B22:C22"/>
    <mergeCell ref="A1:B1"/>
    <mergeCell ref="F1:K1"/>
    <mergeCell ref="A2:C2"/>
    <mergeCell ref="A4:D5"/>
    <mergeCell ref="B8:C8"/>
    <mergeCell ref="B9:C9"/>
    <mergeCell ref="F23:L23"/>
    <mergeCell ref="B61:C61"/>
    <mergeCell ref="B10:C10"/>
    <mergeCell ref="B13:C13"/>
    <mergeCell ref="F13:K13"/>
    <mergeCell ref="B52:C52"/>
    <mergeCell ref="B53:C53"/>
    <mergeCell ref="B54:C54"/>
    <mergeCell ref="B55:C55"/>
    <mergeCell ref="B58:C58"/>
    <mergeCell ref="B14:C14"/>
    <mergeCell ref="B15:C15"/>
    <mergeCell ref="B16:C16"/>
    <mergeCell ref="B17:C17"/>
    <mergeCell ref="B18:C18"/>
    <mergeCell ref="F38:L38"/>
    <mergeCell ref="F39:L41"/>
    <mergeCell ref="B62:C62"/>
    <mergeCell ref="B63:C63"/>
    <mergeCell ref="B64:C64"/>
    <mergeCell ref="B67:C67"/>
    <mergeCell ref="B68:C68"/>
  </mergeCells>
  <conditionalFormatting sqref="B15:C15">
    <cfRule type="expression" dxfId="1" priority="2">
      <formula>$B$17=""</formula>
    </cfRule>
  </conditionalFormatting>
  <conditionalFormatting sqref="B14:C14">
    <cfRule type="expression" dxfId="0" priority="1">
      <formula>$B$17=""</formula>
    </cfRule>
  </conditionalFormatting>
  <dataValidations disablePrompts="1" count="2">
    <dataValidation type="list" allowBlank="1" showInputMessage="1" showErrorMessage="1" errorTitle="Tipo de proyecto" error="Seleccionar entre Residencial y No residencial o mixto." promptTitle="Tipo de proyecto" sqref="B13:C13 D13:D22" xr:uid="{00000000-0002-0000-0200-000000000000}">
      <formula1>"Residencial, No residencial o mixto"</formula1>
    </dataValidation>
    <dataValidation type="list" allowBlank="1" showInputMessage="1" showErrorMessage="1" sqref="B14:C14" xr:uid="{00000000-0002-0000-0200-000001000000}">
      <formula1>"1,2,3,4,5,6"</formula1>
    </dataValidation>
  </dataValidations>
  <printOptions horizontalCentered="1"/>
  <pageMargins left="1.1811023622047245" right="1.1811023622047245" top="1.1811023622047245" bottom="1.1811023622047245" header="0.31496062992125984" footer="0.31496062992125984"/>
  <pageSetup paperSize="9" scale="93" orientation="portrait" r:id="rId1"/>
  <colBreaks count="1" manualBreakCount="1">
    <brk id="4" max="72" man="1"/>
  </colBreaks>
  <ignoredErrors>
    <ignoredError sqref="B16:B18" unlockedFormula="1"/>
  </ignoredError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4AA7736A0722E48A6E394ED6C68D49A" ma:contentTypeVersion="0" ma:contentTypeDescription="Crear nuevo documento." ma:contentTypeScope="" ma:versionID="bafc242a67d0747c2fc128bf8986d51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3F51CD-D8BF-42D6-9A1E-52BB151DDD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F5391FF-414E-4B85-9E7E-3FA7C18672EB}">
  <ds:schemaRefs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A5E64684-1585-4E9E-9C7E-96085262F10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Sistema con bombeo</vt:lpstr>
      <vt:lpstr>Presión directa de la red</vt:lpstr>
      <vt:lpstr>Mixto</vt:lpstr>
      <vt:lpstr>Mixto!Área_de_impresión</vt:lpstr>
      <vt:lpstr>'Presión directa de la red'!Área_de_impresión</vt:lpstr>
      <vt:lpstr>'Sistema con bombeo'!Área_de_impresión</vt:lpstr>
    </vt:vector>
  </TitlesOfParts>
  <Company>EPM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cvelezm</dc:creator>
  <cp:lastModifiedBy>JUAN FERNANDO YEPES VELEZ</cp:lastModifiedBy>
  <cp:lastPrinted>2017-04-24T13:21:45Z</cp:lastPrinted>
  <dcterms:created xsi:type="dcterms:W3CDTF">2012-07-11T18:01:56Z</dcterms:created>
  <dcterms:modified xsi:type="dcterms:W3CDTF">2022-03-24T22:24:44Z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0x01010094AA7736A0722E48A6E394ED6C68D49A</vt:lpwstr>
  </property>
  <property fmtid="{D5CDD505-2E9C-101B-9397-08002B2CF9AE}" pid="3" name="MSIP_Label_666bb131-2344-48ed-84db-fe1e84a9fae2_Enabled">
    <vt:lpwstr>true</vt:lpwstr>
  </property>
  <property fmtid="{D5CDD505-2E9C-101B-9397-08002B2CF9AE}" pid="4" name="MSIP_Label_666bb131-2344-48ed-84db-fe1e84a9fae2_SetDate">
    <vt:lpwstr>2022-03-24T22:18:02Z</vt:lpwstr>
  </property>
  <property fmtid="{D5CDD505-2E9C-101B-9397-08002B2CF9AE}" pid="5" name="MSIP_Label_666bb131-2344-48ed-84db-fe1e84a9fae2_Method">
    <vt:lpwstr>Standard</vt:lpwstr>
  </property>
  <property fmtid="{D5CDD505-2E9C-101B-9397-08002B2CF9AE}" pid="6" name="MSIP_Label_666bb131-2344-48ed-84db-fe1e84a9fae2_Name">
    <vt:lpwstr>666bb131-2344-48ed-84db-fe1e84a9fae2</vt:lpwstr>
  </property>
  <property fmtid="{D5CDD505-2E9C-101B-9397-08002B2CF9AE}" pid="7" name="MSIP_Label_666bb131-2344-48ed-84db-fe1e84a9fae2_SiteId">
    <vt:lpwstr>bf1ce8b5-5d39-4bc5-ad6e-07b3e4d7d67a</vt:lpwstr>
  </property>
  <property fmtid="{D5CDD505-2E9C-101B-9397-08002B2CF9AE}" pid="8" name="MSIP_Label_666bb131-2344-48ed-84db-fe1e84a9fae2_ActionId">
    <vt:lpwstr>c079858a-607f-4ee8-b9f2-c678ab8ba9c6</vt:lpwstr>
  </property>
  <property fmtid="{D5CDD505-2E9C-101B-9397-08002B2CF9AE}" pid="9" name="MSIP_Label_666bb131-2344-48ed-84db-fe1e84a9fae2_ContentBits">
    <vt:lpwstr>0</vt:lpwstr>
  </property>
</Properties>
</file>