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velezm\Downloads\"/>
    </mc:Choice>
  </mc:AlternateContent>
  <xr:revisionPtr revIDLastSave="0" documentId="13_ncr:1_{FDD778B1-6E63-4480-A892-1E58DE9B14C8}" xr6:coauthVersionLast="47" xr6:coauthVersionMax="47" xr10:uidLastSave="{00000000-0000-0000-0000-000000000000}"/>
  <bookViews>
    <workbookView xWindow="-108" yWindow="-108" windowWidth="30936" windowHeight="16776" tabRatio="786" xr2:uid="{00000000-000D-0000-FFFF-FFFF00000000}"/>
  </bookViews>
  <sheets>
    <sheet name="Cálculo de tramos de empalme" sheetId="34" r:id="rId1"/>
    <sheet name="Tablas" sheetId="5" r:id="rId2"/>
  </sheets>
  <definedNames>
    <definedName name="_xlnm.Print_Area" localSheetId="0">'Cálculo de tramos de empalme'!$A$6:$C$58</definedName>
    <definedName name="Diámetros">Tablas!$A$3:$A$40</definedName>
    <definedName name="Estación">Parámetros_de_las_IDF[[Estación ]]</definedName>
    <definedName name="Estrato">Tablas!$I$3:$I$8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4" l="1"/>
  <c r="B41" i="34"/>
  <c r="B44" i="34"/>
  <c r="B46" i="34" l="1"/>
  <c r="B48" i="34" s="1"/>
  <c r="B28" i="34" l="1"/>
  <c r="K4" i="5"/>
  <c r="K5" i="5"/>
  <c r="K6" i="5"/>
  <c r="K7" i="5"/>
  <c r="K8" i="5"/>
  <c r="K3" i="5"/>
  <c r="B26" i="34"/>
  <c r="B29" i="34" s="1"/>
  <c r="B30" i="34" s="1"/>
  <c r="B25" i="34"/>
  <c r="B27" i="34" s="1"/>
  <c r="B19" i="34"/>
  <c r="B20" i="34" l="1"/>
  <c r="B45" i="34" s="1"/>
  <c r="B56" i="34" l="1"/>
  <c r="B47" i="34" s="1"/>
  <c r="B57" i="34" l="1"/>
  <c r="B49" i="34"/>
  <c r="B55" i="34" l="1"/>
  <c r="B50" i="34"/>
  <c r="B51" i="34" s="1"/>
  <c r="B52" i="34" s="1"/>
  <c r="B58" i="34" s="1"/>
</calcChain>
</file>

<file path=xl/sharedStrings.xml><?xml version="1.0" encoding="utf-8"?>
<sst xmlns="http://schemas.openxmlformats.org/spreadsheetml/2006/main" count="110" uniqueCount="90">
  <si>
    <t>[Ha]</t>
  </si>
  <si>
    <t>Rugosidad de Manning</t>
  </si>
  <si>
    <t>[l/s]</t>
  </si>
  <si>
    <t>Caudal medio</t>
  </si>
  <si>
    <t>[Adim.]</t>
  </si>
  <si>
    <t>[m/s]</t>
  </si>
  <si>
    <t>[Viv]</t>
  </si>
  <si>
    <t>[mm]</t>
  </si>
  <si>
    <t>[adim]</t>
  </si>
  <si>
    <t xml:space="preserve">Estación </t>
  </si>
  <si>
    <t>C</t>
  </si>
  <si>
    <t>H</t>
  </si>
  <si>
    <t>M</t>
  </si>
  <si>
    <t>Intensidad de la lluvia</t>
  </si>
  <si>
    <t>[%]</t>
  </si>
  <si>
    <t>Estación Pluviográfica</t>
  </si>
  <si>
    <t>[l/s-Ha]</t>
  </si>
  <si>
    <t>Impermeabilidad</t>
  </si>
  <si>
    <t>Factor de mayorac. F</t>
  </si>
  <si>
    <t>Diámetro Interior</t>
  </si>
  <si>
    <t>Alto San Ándres</t>
  </si>
  <si>
    <t>Ayurá</t>
  </si>
  <si>
    <t>Caldas</t>
  </si>
  <si>
    <t>Chorillos</t>
  </si>
  <si>
    <t>Fabricato</t>
  </si>
  <si>
    <t>La Fé</t>
  </si>
  <si>
    <t>Mazo</t>
  </si>
  <si>
    <t>Palmas</t>
  </si>
  <si>
    <t>Planta Villa Hermosa</t>
  </si>
  <si>
    <t>Rionegro La Macarena</t>
  </si>
  <si>
    <t>San Antonio de Prado</t>
  </si>
  <si>
    <t>San Cristóbal</t>
  </si>
  <si>
    <t>Vasconia</t>
  </si>
  <si>
    <t>Curvas de Intensidad, Frecuencia, Duración. Parámetros de las ecuaciones de las curvas IDF</t>
  </si>
  <si>
    <t>Dotación</t>
  </si>
  <si>
    <t>[L/s]</t>
  </si>
  <si>
    <t>Miguel de Aguinaga</t>
  </si>
  <si>
    <r>
      <t>C</t>
    </r>
    <r>
      <rPr>
        <vertAlign val="subscript"/>
        <sz val="10"/>
        <rFont val="Calibri"/>
        <family val="2"/>
        <scheme val="minor"/>
      </rPr>
      <t>Escorrentía</t>
    </r>
  </si>
  <si>
    <r>
      <t>V</t>
    </r>
    <r>
      <rPr>
        <vertAlign val="subscript"/>
        <sz val="10"/>
        <rFont val="Calibri"/>
        <family val="2"/>
        <scheme val="minor"/>
      </rPr>
      <t xml:space="preserve">real </t>
    </r>
    <r>
      <rPr>
        <sz val="10"/>
        <rFont val="Calibri"/>
        <family val="2"/>
        <scheme val="minor"/>
      </rPr>
      <t>/ V</t>
    </r>
    <r>
      <rPr>
        <vertAlign val="subscript"/>
        <sz val="10"/>
        <rFont val="Calibri"/>
        <family val="2"/>
        <scheme val="minor"/>
      </rPr>
      <t>ø a tubo lleno</t>
    </r>
  </si>
  <si>
    <t>Empresas Públicas de Medellín E.S.P.</t>
  </si>
  <si>
    <t>Caudal A. residuales</t>
  </si>
  <si>
    <t>Caudal infiltración + C. Erradas</t>
  </si>
  <si>
    <t>Total de viviendas</t>
  </si>
  <si>
    <t>Pendiente tuberia</t>
  </si>
  <si>
    <t>Velocidad</t>
  </si>
  <si>
    <r>
      <t>[m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/Viv-mes]</t>
    </r>
  </si>
  <si>
    <t>1. Datos del proyecto y diseñador</t>
  </si>
  <si>
    <t>Nombre del diseñador:</t>
  </si>
  <si>
    <t>Nombre del proyecto:</t>
  </si>
  <si>
    <t>Fecha de elaboración:</t>
  </si>
  <si>
    <t>2. Datos del aporte de aguas lluvias al tramo de empalme</t>
  </si>
  <si>
    <t>Área tributaria</t>
  </si>
  <si>
    <t>Caudal Aguas lluvias</t>
  </si>
  <si>
    <t>2. Aporte de aguas residuales residencial al tramo de empalme</t>
  </si>
  <si>
    <t>3. Otros aportes de aguas residuales  al tramo de empalme</t>
  </si>
  <si>
    <t>6. Resultados y verificaciones</t>
  </si>
  <si>
    <t>Condiciones para el uso de este aplicativo</t>
  </si>
  <si>
    <t>Aplicativo para el calculo del dimensionamiento de tramos de empalme</t>
  </si>
  <si>
    <t>4. Dimensionamiento del tramo de empalme</t>
  </si>
  <si>
    <t>5. Cálculos hidráulicos</t>
  </si>
  <si>
    <t>Relación de caudales (q/Q)</t>
  </si>
  <si>
    <t>Caudal a tubo lleno (Q)</t>
  </si>
  <si>
    <t>Velocidad a tubo lleno (V)</t>
  </si>
  <si>
    <t>Caudal de diseño (q)</t>
  </si>
  <si>
    <t>Diámetro interno</t>
  </si>
  <si>
    <t>Estrato</t>
  </si>
  <si>
    <t>Dotación neta</t>
  </si>
  <si>
    <t>Densidad Hab</t>
  </si>
  <si>
    <t>Densidad habitacional</t>
  </si>
  <si>
    <t>[Hab/Viv]</t>
  </si>
  <si>
    <t>Caudal aportado por oficinas, locales, etc.</t>
  </si>
  <si>
    <t>Dotación y densidad habitacional</t>
  </si>
  <si>
    <t>Tuberías</t>
  </si>
  <si>
    <t>Dotación con el 5% de perdidas</t>
  </si>
  <si>
    <t>Relación profundiad-diámetro (y/D)</t>
  </si>
  <si>
    <t>2. Se utiliza un tiempo de concentración típico de 3.0 minutos y un periodo de retorno de 5 años.</t>
  </si>
  <si>
    <t>3. El tramo de empalme deberá de cumplir la normativa de diseño y construcción de EPM.</t>
  </si>
  <si>
    <t>1. Este aplicativo contiene ecuaciones que permiten el cálculo del dimensionamiento de tramos de empalme; sin embargo EPM no asume responsabilidad alguna por su uso. El usuario deberá validar los criterios contenidos en el aplicativo y revisar los resultados.</t>
  </si>
  <si>
    <t>4. Para  el manejo de este aplicativo solo será necesario que el diseñador diligencie las celdas sombreadas en gris.</t>
  </si>
  <si>
    <t>Nota: En caso de indicar otros aportes, estos deberán de ser soportados con memorias de cálculo, para su revisión y aceptación en EPM.</t>
  </si>
  <si>
    <t>Esfuerzo cortante</t>
  </si>
  <si>
    <t>Cota de salida en el eje de la cámara</t>
  </si>
  <si>
    <t>Cota de llegada en el eje de la cámara</t>
  </si>
  <si>
    <t>Longitud entre ejes de cámara</t>
  </si>
  <si>
    <t>[msnm]</t>
  </si>
  <si>
    <t>[m]</t>
  </si>
  <si>
    <t>θ</t>
  </si>
  <si>
    <t>Rh/D</t>
  </si>
  <si>
    <t>Radio hidráulico</t>
  </si>
  <si>
    <t>[kg/m²]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</si>
</sst>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0.00_)"/>
    <numFmt numFmtId="166" formatCode="0.0_)"/>
    <numFmt numFmtId="167" formatCode="0.000"/>
    <numFmt numFmtId="168" formatCode="_ [$€-2]\ * #,##0.00_ ;_ [$€-2]\ * \-#,##0.00_ ;_ [$€-2]\ * &quot;-&quot;??_ "/>
    <numFmt numFmtId="169" formatCode="0.0000"/>
    <numFmt numFmtId="170" formatCode="0.00\ &quot;años&quot;"/>
    <numFmt numFmtId="171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23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/>
    <xf numFmtId="4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6" fontId="4" fillId="0" borderId="5" xfId="1" applyNumberFormat="1" applyFont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69" fontId="11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69" fontId="11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0" fontId="8" fillId="0" borderId="6" xfId="0" applyNumberFormat="1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left" vertic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70" fontId="9" fillId="5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10" fontId="4" fillId="0" borderId="5" xfId="1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center" vertical="center" shrinkToFit="1"/>
    </xf>
    <xf numFmtId="171" fontId="5" fillId="3" borderId="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</cellXfs>
  <cellStyles count="12">
    <cellStyle name="Euro" xfId="3" xr:uid="{00000000-0005-0000-0000-000000000000}"/>
    <cellStyle name="Millares 2" xfId="8" xr:uid="{00000000-0005-0000-0000-000001000000}"/>
    <cellStyle name="Millares 3" xfId="6" xr:uid="{00000000-0005-0000-0000-000002000000}"/>
    <cellStyle name="Millares 4" xfId="9" xr:uid="{00000000-0005-0000-0000-000003000000}"/>
    <cellStyle name="Moneda 2" xfId="5" xr:uid="{00000000-0005-0000-0000-000004000000}"/>
    <cellStyle name="Normal" xfId="0" builtinId="0"/>
    <cellStyle name="Normal 11" xfId="10" xr:uid="{00000000-0005-0000-0000-000006000000}"/>
    <cellStyle name="Normal 2" xfId="7" xr:uid="{00000000-0005-0000-0000-000007000000}"/>
    <cellStyle name="Normal 3" xfId="2" xr:uid="{00000000-0005-0000-0000-000008000000}"/>
    <cellStyle name="Normal_Design ALAN 001221" xfId="1" xr:uid="{00000000-0005-0000-0000-000009000000}"/>
    <cellStyle name="Porcentaje" xfId="11" builtinId="5"/>
    <cellStyle name="Porcentual 2" xfId="4" xr:uid="{00000000-0005-0000-0000-00000B000000}"/>
  </cellStyles>
  <dxfs count="24"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00B050"/>
      </font>
      <numFmt numFmtId="167" formatCode="0.000"/>
    </dxf>
    <dxf>
      <font>
        <color rgb="FF00B050"/>
      </font>
      <numFmt numFmtId="167" formatCode="0.000"/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9" formatCode="0.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1FFC5"/>
        </patternFill>
      </fill>
    </dxf>
  </dxfs>
  <tableStyles count="1" defaultTableStyle="TableStyleMedium9" defaultPivotStyle="PivotStyleLight16">
    <tableStyle name="Estilo de tabla dinámica 1" table="0" count="1" xr9:uid="{00000000-0011-0000-FFFF-FFFF00000000}">
      <tableStyleElement type="wholeTable" dxfId="23"/>
    </tableStyle>
  </tableStyles>
  <colors>
    <mruColors>
      <color rgb="FFFFFFFF"/>
      <color rgb="FFA5A5A5"/>
      <color rgb="FFABDB77"/>
      <color rgb="FFE1FFC5"/>
      <color rgb="FFFF5050"/>
      <color rgb="FFC5D9F1"/>
      <color rgb="FFFF0000"/>
      <color rgb="FF5A5A5A"/>
      <color rgb="FFFF7C8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139849</xdr:colOff>
      <xdr:row>5</xdr:row>
      <xdr:rowOff>34564</xdr:rowOff>
    </xdr:from>
    <xdr:to>
      <xdr:col>2</xdr:col>
      <xdr:colOff>959491</xdr:colOff>
      <xdr:row>7</xdr:row>
      <xdr:rowOff>140805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2458" y="1220634"/>
          <a:ext cx="819642" cy="4507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1244</xdr:rowOff>
    </xdr:from>
    <xdr:to>
      <xdr:col>1</xdr:col>
      <xdr:colOff>1670538</xdr:colOff>
      <xdr:row>6</xdr:row>
      <xdr:rowOff>7327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163169"/>
          <a:ext cx="3794613" cy="60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arámetros_de_las_IDF" displayName="Parámetros_de_las_IDF" ref="D2:G16" totalsRowShown="0" headerRowDxfId="22" dataDxfId="20" headerRowBorderDxfId="21" tableBorderDxfId="19" totalsRowBorderDxfId="18">
  <autoFilter ref="D2:G16" xr:uid="{00000000-0009-0000-0100-000004000000}"/>
  <sortState xmlns:xlrd2="http://schemas.microsoft.com/office/spreadsheetml/2017/richdata2" ref="D15:AB29">
    <sortCondition ref="D14:D29"/>
  </sortState>
  <tableColumns count="4">
    <tableColumn id="1" xr3:uid="{00000000-0010-0000-0000-000001000000}" name="Estación " dataDxfId="17"/>
    <tableColumn id="3" xr3:uid="{00000000-0010-0000-0000-000003000000}" name="C" dataDxfId="16"/>
    <tableColumn id="6" xr3:uid="{00000000-0010-0000-0000-000006000000}" name="H" dataDxfId="15"/>
    <tableColumn id="9" xr3:uid="{00000000-0010-0000-0000-000009000000}" name="M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racteríticas_Tuberias" displayName="Caracteríticas_Tuberias" ref="A2:B40" totalsRowShown="0" headerRowDxfId="13" headerRowBorderDxfId="12" tableBorderDxfId="11" totalsRowBorderDxfId="10">
  <autoFilter ref="A2:B40" xr:uid="{00000000-0009-0000-0100-000001000000}"/>
  <tableColumns count="2">
    <tableColumn id="1" xr3:uid="{00000000-0010-0000-0100-000001000000}" name="Diámetro Interior" dataDxfId="9"/>
    <tableColumn id="6" xr3:uid="{00000000-0010-0000-0100-000006000000}" name="Rugosidad de Manning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view="pageBreakPreview" zoomScale="115" zoomScaleNormal="115" zoomScaleSheetLayoutView="115" workbookViewId="0">
      <selection activeCell="A11" sqref="A11"/>
    </sheetView>
  </sheetViews>
  <sheetFormatPr baseColWidth="10" defaultColWidth="11.44140625" defaultRowHeight="13.8" x14ac:dyDescent="0.3"/>
  <cols>
    <col min="1" max="1" width="45.109375" style="38" customWidth="1"/>
    <col min="2" max="2" width="20.109375" style="37" customWidth="1"/>
    <col min="3" max="3" width="15.6640625" style="37" customWidth="1"/>
    <col min="4" max="4" width="3.5546875" style="37" customWidth="1"/>
    <col min="5" max="5" width="80.6640625" style="37" customWidth="1"/>
    <col min="6" max="6" width="12.33203125" style="37" customWidth="1"/>
    <col min="7" max="7" width="11.44140625" style="37"/>
    <col min="8" max="8" width="12.44140625" style="37" bestFit="1" customWidth="1"/>
    <col min="9" max="9" width="17.109375" style="37" bestFit="1" customWidth="1"/>
    <col min="10" max="10" width="12.6640625" style="37" bestFit="1" customWidth="1"/>
    <col min="11" max="16384" width="11.44140625" style="37"/>
  </cols>
  <sheetData>
    <row r="1" spans="1:31" x14ac:dyDescent="0.3">
      <c r="A1" s="65" t="s">
        <v>56</v>
      </c>
      <c r="B1" s="65"/>
      <c r="C1" s="65"/>
    </row>
    <row r="2" spans="1:31" ht="39" customHeight="1" x14ac:dyDescent="0.3">
      <c r="A2" s="66" t="s">
        <v>77</v>
      </c>
      <c r="B2" s="66"/>
      <c r="C2" s="66"/>
    </row>
    <row r="3" spans="1:31" x14ac:dyDescent="0.3">
      <c r="A3" s="66" t="s">
        <v>75</v>
      </c>
      <c r="B3" s="66"/>
      <c r="C3" s="66"/>
    </row>
    <row r="4" spans="1:31" x14ac:dyDescent="0.3">
      <c r="A4" s="66" t="s">
        <v>76</v>
      </c>
      <c r="B4" s="66"/>
      <c r="C4" s="66"/>
    </row>
    <row r="5" spans="1:31" x14ac:dyDescent="0.3">
      <c r="A5" s="66" t="s">
        <v>78</v>
      </c>
      <c r="B5" s="66"/>
      <c r="C5" s="6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3">
      <c r="A6" s="69" t="s">
        <v>39</v>
      </c>
      <c r="B6" s="69"/>
      <c r="C6" s="26"/>
      <c r="D6" s="1"/>
      <c r="E6" s="45"/>
      <c r="F6" s="45"/>
      <c r="G6" s="45"/>
      <c r="H6" s="45"/>
      <c r="I6" s="45"/>
      <c r="J6" s="45"/>
    </row>
    <row r="7" spans="1:31" x14ac:dyDescent="0.3">
      <c r="A7" s="70" t="s">
        <v>57</v>
      </c>
      <c r="B7" s="70"/>
      <c r="C7" s="26"/>
      <c r="D7" s="1"/>
      <c r="E7" s="1"/>
      <c r="F7" s="1"/>
      <c r="G7" s="1"/>
      <c r="H7" s="1"/>
      <c r="I7" s="1"/>
      <c r="J7" s="1"/>
    </row>
    <row r="8" spans="1:31" x14ac:dyDescent="0.3">
      <c r="A8" s="35"/>
      <c r="B8" s="35"/>
      <c r="C8" s="26"/>
      <c r="F8" s="1"/>
      <c r="G8" s="1"/>
      <c r="H8" s="1"/>
      <c r="I8" s="1"/>
      <c r="J8" s="1"/>
    </row>
    <row r="9" spans="1:31" ht="15.75" customHeight="1" x14ac:dyDescent="0.3">
      <c r="A9" s="50" t="s">
        <v>46</v>
      </c>
      <c r="B9" s="6"/>
      <c r="C9" s="6"/>
      <c r="F9" s="1"/>
    </row>
    <row r="10" spans="1:31" ht="15.75" customHeight="1" x14ac:dyDescent="0.3">
      <c r="A10" s="36" t="s">
        <v>47</v>
      </c>
      <c r="B10" s="64"/>
      <c r="C10" s="64"/>
      <c r="E10" s="46"/>
      <c r="F10" s="1"/>
    </row>
    <row r="11" spans="1:31" ht="15.75" customHeight="1" x14ac:dyDescent="0.3">
      <c r="A11" s="36" t="s">
        <v>48</v>
      </c>
      <c r="B11" s="64"/>
      <c r="C11" s="64"/>
      <c r="E11" s="46"/>
      <c r="F11" s="1"/>
    </row>
    <row r="12" spans="1:31" ht="15.75" customHeight="1" x14ac:dyDescent="0.3">
      <c r="A12" s="36" t="s">
        <v>49</v>
      </c>
      <c r="B12" s="68"/>
      <c r="C12" s="68"/>
      <c r="E12" s="46"/>
      <c r="F12" s="1"/>
    </row>
    <row r="13" spans="1:31" x14ac:dyDescent="0.3">
      <c r="A13" s="30"/>
      <c r="B13" s="2"/>
      <c r="C13" s="1"/>
      <c r="D13" s="1"/>
      <c r="E13" s="46"/>
      <c r="F13" s="1"/>
    </row>
    <row r="14" spans="1:31" ht="14.4" x14ac:dyDescent="0.3">
      <c r="A14" s="49" t="s">
        <v>50</v>
      </c>
      <c r="B14" s="2"/>
      <c r="C14" s="1"/>
      <c r="D14" s="1"/>
      <c r="E14" s="46"/>
      <c r="F14" s="1"/>
      <c r="G14" s="51"/>
      <c r="H14" s="52"/>
      <c r="I14" s="53"/>
      <c r="J14" s="53"/>
    </row>
    <row r="15" spans="1:31" x14ac:dyDescent="0.3">
      <c r="A15" s="31" t="s">
        <v>15</v>
      </c>
      <c r="B15" s="67" t="s">
        <v>20</v>
      </c>
      <c r="C15" s="67"/>
      <c r="E15" s="46"/>
      <c r="J15" s="2"/>
    </row>
    <row r="16" spans="1:31" x14ac:dyDescent="0.3">
      <c r="A16" s="31" t="s">
        <v>51</v>
      </c>
      <c r="B16" s="43"/>
      <c r="C16" s="24" t="s">
        <v>0</v>
      </c>
      <c r="D16" s="1"/>
      <c r="E16" s="46"/>
      <c r="F16" s="1"/>
      <c r="G16" s="1"/>
      <c r="H16" s="1"/>
      <c r="I16" s="1"/>
      <c r="J16" s="1"/>
    </row>
    <row r="17" spans="1:10" x14ac:dyDescent="0.3">
      <c r="A17" s="31" t="s">
        <v>17</v>
      </c>
      <c r="B17" s="43">
        <v>0.9</v>
      </c>
      <c r="C17" s="24" t="s">
        <v>8</v>
      </c>
      <c r="D17" s="1"/>
      <c r="E17" s="46"/>
      <c r="F17" s="1"/>
      <c r="G17" s="1"/>
      <c r="H17" s="1"/>
      <c r="I17" s="1"/>
      <c r="J17" s="1"/>
    </row>
    <row r="18" spans="1:10" ht="15" x14ac:dyDescent="0.3">
      <c r="A18" s="31" t="s">
        <v>37</v>
      </c>
      <c r="B18" s="5">
        <f>0.85*B17+0.15</f>
        <v>0.91500000000000004</v>
      </c>
      <c r="C18" s="24" t="s">
        <v>8</v>
      </c>
      <c r="D18" s="1"/>
      <c r="E18" s="46"/>
      <c r="F18" s="1"/>
      <c r="G18" s="1"/>
      <c r="H18" s="1"/>
      <c r="I18" s="1"/>
      <c r="J18" s="1"/>
    </row>
    <row r="19" spans="1:10" x14ac:dyDescent="0.3">
      <c r="A19" s="31" t="s">
        <v>13</v>
      </c>
      <c r="B19" s="5">
        <f>((100/36)*VLOOKUP(B15,Parámetros_de_las_IDF[],2,0)*(3+VLOOKUP(B15,Parámetros_de_las_IDF[],3,0))^VLOOKUP(B15,Parámetros_de_las_IDF[],4,0))</f>
        <v>409.34517782679887</v>
      </c>
      <c r="C19" s="24" t="s">
        <v>16</v>
      </c>
      <c r="E19" s="46"/>
      <c r="F19" s="1"/>
      <c r="G19" s="1"/>
      <c r="H19" s="1"/>
      <c r="I19" s="1"/>
      <c r="J19" s="1"/>
    </row>
    <row r="20" spans="1:10" x14ac:dyDescent="0.3">
      <c r="A20" s="31" t="s">
        <v>52</v>
      </c>
      <c r="B20" s="5">
        <f>B16*B18*B19</f>
        <v>0</v>
      </c>
      <c r="C20" s="24" t="s">
        <v>2</v>
      </c>
      <c r="D20" s="1"/>
      <c r="E20" s="46"/>
      <c r="F20" s="1"/>
      <c r="G20" s="1"/>
      <c r="H20" s="1"/>
      <c r="I20" s="1"/>
      <c r="J20" s="1"/>
    </row>
    <row r="21" spans="1:10" x14ac:dyDescent="0.3">
      <c r="A21" s="25"/>
      <c r="B21" s="1"/>
      <c r="C21" s="1"/>
      <c r="D21" s="1"/>
      <c r="E21" s="46"/>
      <c r="F21" s="1"/>
      <c r="G21" s="1"/>
      <c r="H21" s="1"/>
      <c r="I21" s="1"/>
      <c r="J21" s="1"/>
    </row>
    <row r="22" spans="1:10" x14ac:dyDescent="0.3">
      <c r="A22" s="49" t="s">
        <v>53</v>
      </c>
      <c r="D22" s="1"/>
      <c r="E22" s="46"/>
      <c r="F22" s="1"/>
      <c r="G22" s="1"/>
      <c r="H22" s="1"/>
      <c r="I22" s="1"/>
      <c r="J22" s="1"/>
    </row>
    <row r="23" spans="1:10" x14ac:dyDescent="0.3">
      <c r="A23" s="31" t="s">
        <v>65</v>
      </c>
      <c r="B23" s="44">
        <v>1</v>
      </c>
      <c r="C23" s="24" t="s">
        <v>6</v>
      </c>
    </row>
    <row r="24" spans="1:10" x14ac:dyDescent="0.3">
      <c r="A24" s="31" t="s">
        <v>42</v>
      </c>
      <c r="B24" s="44"/>
      <c r="C24" s="24" t="s">
        <v>6</v>
      </c>
      <c r="D24" s="1"/>
      <c r="E24" s="1"/>
      <c r="F24" s="1"/>
      <c r="G24" s="1"/>
      <c r="H24" s="1"/>
      <c r="I24" s="1"/>
      <c r="J24" s="1"/>
    </row>
    <row r="25" spans="1:10" ht="15" x14ac:dyDescent="0.3">
      <c r="A25" s="31" t="s">
        <v>34</v>
      </c>
      <c r="B25" s="5">
        <f>VLOOKUP(B23,Tablas!$I$3:$L$8,3,0)</f>
        <v>10.6</v>
      </c>
      <c r="C25" s="3" t="s">
        <v>45</v>
      </c>
      <c r="D25" s="1"/>
      <c r="E25" s="1"/>
      <c r="F25" s="1"/>
      <c r="G25" s="1"/>
      <c r="H25" s="1"/>
      <c r="I25" s="1"/>
      <c r="J25" s="1"/>
    </row>
    <row r="26" spans="1:10" x14ac:dyDescent="0.3">
      <c r="A26" s="31" t="s">
        <v>68</v>
      </c>
      <c r="B26" s="5">
        <f>VLOOKUP(B23,Tablas!$I$3:$L$8,4,0)</f>
        <v>2.6</v>
      </c>
      <c r="C26" s="3" t="s">
        <v>69</v>
      </c>
      <c r="D26" s="1"/>
      <c r="E26" s="1"/>
      <c r="F26" s="1"/>
      <c r="G26" s="1"/>
      <c r="H26" s="1"/>
      <c r="I26" s="1"/>
      <c r="J26" s="1"/>
    </row>
    <row r="27" spans="1:10" x14ac:dyDescent="0.3">
      <c r="A27" s="31" t="s">
        <v>3</v>
      </c>
      <c r="B27" s="5">
        <f>B24*B25*0.85/2592</f>
        <v>0</v>
      </c>
      <c r="C27" s="24" t="s">
        <v>2</v>
      </c>
    </row>
    <row r="28" spans="1:10" x14ac:dyDescent="0.3">
      <c r="A28" s="31" t="s">
        <v>41</v>
      </c>
      <c r="B28" s="5">
        <f>B16*0.3</f>
        <v>0</v>
      </c>
      <c r="C28" s="24" t="s">
        <v>2</v>
      </c>
    </row>
    <row r="29" spans="1:10" x14ac:dyDescent="0.3">
      <c r="A29" s="31" t="s">
        <v>18</v>
      </c>
      <c r="B29" s="5">
        <f>IF((1+(14/(4+(B24*B26/1000)^0.5)))&lt;2,2,IF((1+(14/(4+(B24*B26/1000)^0.5)))&gt;4,4,(1+(14/(4+(B24*B26/1000)^0.5)))))</f>
        <v>4</v>
      </c>
      <c r="C29" s="24" t="s">
        <v>4</v>
      </c>
    </row>
    <row r="30" spans="1:10" x14ac:dyDescent="0.3">
      <c r="A30" s="31" t="s">
        <v>40</v>
      </c>
      <c r="B30" s="5">
        <f>IF(B24=0,0,MAX(1.5,SUM(B28,B29*B27)))</f>
        <v>0</v>
      </c>
      <c r="C30" s="24" t="s">
        <v>2</v>
      </c>
    </row>
    <row r="31" spans="1:10" x14ac:dyDescent="0.3">
      <c r="A31" s="25"/>
      <c r="B31" s="2"/>
      <c r="C31" s="1"/>
    </row>
    <row r="32" spans="1:10" x14ac:dyDescent="0.3">
      <c r="A32" s="49" t="s">
        <v>54</v>
      </c>
      <c r="B32" s="2"/>
      <c r="C32" s="1"/>
    </row>
    <row r="33" spans="1:3" x14ac:dyDescent="0.3">
      <c r="A33" s="31" t="s">
        <v>70</v>
      </c>
      <c r="B33" s="43"/>
      <c r="C33" s="24" t="s">
        <v>2</v>
      </c>
    </row>
    <row r="34" spans="1:3" ht="25.5" customHeight="1" x14ac:dyDescent="0.3">
      <c r="A34" s="63" t="s">
        <v>79</v>
      </c>
      <c r="B34" s="63"/>
      <c r="C34" s="63"/>
    </row>
    <row r="36" spans="1:3" x14ac:dyDescent="0.3">
      <c r="A36" s="48" t="s">
        <v>58</v>
      </c>
    </row>
    <row r="37" spans="1:3" x14ac:dyDescent="0.3">
      <c r="A37" s="31" t="s">
        <v>64</v>
      </c>
      <c r="B37" s="44">
        <v>182</v>
      </c>
      <c r="C37" s="24" t="s">
        <v>7</v>
      </c>
    </row>
    <row r="38" spans="1:3" x14ac:dyDescent="0.3">
      <c r="A38" s="31" t="s">
        <v>81</v>
      </c>
      <c r="B38" s="43">
        <v>101</v>
      </c>
      <c r="C38" s="24" t="s">
        <v>84</v>
      </c>
    </row>
    <row r="39" spans="1:3" x14ac:dyDescent="0.3">
      <c r="A39" s="31" t="s">
        <v>82</v>
      </c>
      <c r="B39" s="43">
        <v>100</v>
      </c>
      <c r="C39" s="24" t="s">
        <v>84</v>
      </c>
    </row>
    <row r="40" spans="1:3" x14ac:dyDescent="0.3">
      <c r="A40" s="31" t="s">
        <v>83</v>
      </c>
      <c r="B40" s="43">
        <v>20</v>
      </c>
      <c r="C40" s="24" t="s">
        <v>85</v>
      </c>
    </row>
    <row r="41" spans="1:3" x14ac:dyDescent="0.3">
      <c r="A41" s="31" t="s">
        <v>43</v>
      </c>
      <c r="B41" s="62">
        <f>ROUND((ROUND(B38,2)-ROUND(B39,2))/ROUND(B40,2),4)</f>
        <v>0.05</v>
      </c>
      <c r="C41" s="4" t="s">
        <v>14</v>
      </c>
    </row>
    <row r="43" spans="1:3" x14ac:dyDescent="0.3">
      <c r="A43" s="48" t="s">
        <v>59</v>
      </c>
    </row>
    <row r="44" spans="1:3" x14ac:dyDescent="0.3">
      <c r="A44" s="31" t="s">
        <v>1</v>
      </c>
      <c r="B44" s="29">
        <f>INDEX(Caracteríticas_Tuberias[[Diámetro Interior]:[Rugosidad de Manning]],MATCH(B37,Diámetros,0),2)</f>
        <v>8.9999999999999993E-3</v>
      </c>
      <c r="C44" s="24" t="s">
        <v>8</v>
      </c>
    </row>
    <row r="45" spans="1:3" x14ac:dyDescent="0.3">
      <c r="A45" s="31" t="s">
        <v>63</v>
      </c>
      <c r="B45" s="5">
        <f>+B20+B30+B33</f>
        <v>0</v>
      </c>
      <c r="C45" s="27" t="s">
        <v>2</v>
      </c>
    </row>
    <row r="46" spans="1:3" x14ac:dyDescent="0.3">
      <c r="A46" s="31" t="s">
        <v>62</v>
      </c>
      <c r="B46" s="5">
        <f>(1/B44)*(B37/1000/4)^(0.666666666666667)*(B41)^0.5</f>
        <v>3.1665286650116453</v>
      </c>
      <c r="C46" s="24" t="s">
        <v>5</v>
      </c>
    </row>
    <row r="47" spans="1:3" ht="15.75" customHeight="1" x14ac:dyDescent="0.3">
      <c r="A47" s="61" t="s">
        <v>38</v>
      </c>
      <c r="B47" s="5" t="str">
        <f>IFERROR(IF(B56&lt;=0.06,(10^(0.029806+0.29095*LOG(B56))),IF(B56&lt;0.26,(10^(0.013778+0.28597*LOG(B56))),IF(B56&lt;0.91,10^(0.021763+0.289951*LOG(B56)),"Aumente diámetro o pendiente"))),"")</f>
        <v/>
      </c>
      <c r="C47" s="24" t="s">
        <v>8</v>
      </c>
    </row>
    <row r="48" spans="1:3" x14ac:dyDescent="0.3">
      <c r="A48" s="31" t="s">
        <v>61</v>
      </c>
      <c r="B48" s="5">
        <f>B46*PI()*(B37/1000)^2/4*1000</f>
        <v>82.378917567835018</v>
      </c>
      <c r="C48" s="24" t="s">
        <v>35</v>
      </c>
    </row>
    <row r="49" spans="1:3" hidden="1" x14ac:dyDescent="0.3">
      <c r="A49" s="32" t="s">
        <v>74</v>
      </c>
      <c r="B49" s="5" t="e">
        <f>IF(B56&lt;0.11,ROUND(0.3827+0.0645*LN(B56),2),IF((AND(B56&gt;=0.11,B56&lt;0.21)),ROUND(0.60025+0.15471*LN(B56),2),IF(AND(B56&gt;=0.21,B56&lt;0.91),ROUND(0.225+0.66666667*B56,2),"")))</f>
        <v>#NUM!</v>
      </c>
      <c r="C49" s="24" t="s">
        <v>8</v>
      </c>
    </row>
    <row r="50" spans="1:3" hidden="1" x14ac:dyDescent="0.3">
      <c r="A50" s="32" t="s">
        <v>86</v>
      </c>
      <c r="B50" s="5" t="e">
        <f>ROUND(2*ACOS(1-2*B49),3)</f>
        <v>#NUM!</v>
      </c>
      <c r="C50" s="24"/>
    </row>
    <row r="51" spans="1:3" hidden="1" x14ac:dyDescent="0.3">
      <c r="A51" s="32" t="s">
        <v>87</v>
      </c>
      <c r="B51" s="29" t="e">
        <f>0.25*(1-SIN(B50)/B50)</f>
        <v>#NUM!</v>
      </c>
      <c r="C51" s="24" t="s">
        <v>8</v>
      </c>
    </row>
    <row r="52" spans="1:3" hidden="1" x14ac:dyDescent="0.3">
      <c r="A52" s="32" t="s">
        <v>88</v>
      </c>
      <c r="B52" s="29" t="e">
        <f>B51*B37/1000</f>
        <v>#NUM!</v>
      </c>
      <c r="C52" s="24" t="s">
        <v>85</v>
      </c>
    </row>
    <row r="53" spans="1:3" x14ac:dyDescent="0.3">
      <c r="A53" s="39"/>
      <c r="B53" s="40"/>
      <c r="C53" s="41"/>
    </row>
    <row r="54" spans="1:3" x14ac:dyDescent="0.3">
      <c r="A54" s="47" t="s">
        <v>55</v>
      </c>
      <c r="B54" s="28"/>
      <c r="C54" s="42"/>
    </row>
    <row r="55" spans="1:3" x14ac:dyDescent="0.3">
      <c r="A55" s="31" t="s">
        <v>74</v>
      </c>
      <c r="B55" s="60" t="str">
        <f>IFERROR(IF(AND(B$37&lt;=500,$B$49&lt;=0.7),ROUND(B49,2)&amp;" OK",IF(AND(B$37&gt;500,B$37&lt;=1000,$B$49&lt;=0.8),ROUND(B49,2)&amp;" OK",IF(AND(B$37&gt;1000,$B$49&lt;=0.85),ROUND(B49,2)&amp;" OK",ROUND(B49,2)))),"")</f>
        <v/>
      </c>
      <c r="C55" s="24" t="s">
        <v>8</v>
      </c>
    </row>
    <row r="56" spans="1:3" hidden="1" x14ac:dyDescent="0.3">
      <c r="A56" s="31" t="s">
        <v>60</v>
      </c>
      <c r="B56" s="5">
        <f>IFERROR((B45)/B48,"")</f>
        <v>0</v>
      </c>
      <c r="C56" s="24" t="s">
        <v>8</v>
      </c>
    </row>
    <row r="57" spans="1:3" x14ac:dyDescent="0.3">
      <c r="A57" s="31" t="s">
        <v>44</v>
      </c>
      <c r="B57" s="5" t="str">
        <f>IFERROR(B47*B46,"")</f>
        <v/>
      </c>
      <c r="C57" s="24" t="s">
        <v>5</v>
      </c>
    </row>
    <row r="58" spans="1:3" x14ac:dyDescent="0.3">
      <c r="A58" s="31" t="s">
        <v>80</v>
      </c>
      <c r="B58" s="5" t="str">
        <f>IFERROR(B52*B41*1000,"")</f>
        <v/>
      </c>
      <c r="C58" s="24" t="s">
        <v>89</v>
      </c>
    </row>
  </sheetData>
  <mergeCells count="12">
    <mergeCell ref="A34:C34"/>
    <mergeCell ref="A1:C1"/>
    <mergeCell ref="A3:C3"/>
    <mergeCell ref="A4:C4"/>
    <mergeCell ref="A2:C2"/>
    <mergeCell ref="B15:C15"/>
    <mergeCell ref="B12:C12"/>
    <mergeCell ref="A6:B6"/>
    <mergeCell ref="A7:B7"/>
    <mergeCell ref="B10:C10"/>
    <mergeCell ref="B11:C11"/>
    <mergeCell ref="A5:C5"/>
  </mergeCells>
  <conditionalFormatting sqref="A13:A14 A22 A32:A34">
    <cfRule type="expression" dxfId="7" priority="18">
      <formula>#REF!=2</formula>
    </cfRule>
  </conditionalFormatting>
  <conditionalFormatting sqref="A25:A26 C25:C26">
    <cfRule type="expression" dxfId="6" priority="19">
      <formula>#REF!=1</formula>
    </cfRule>
  </conditionalFormatting>
  <conditionalFormatting sqref="B16">
    <cfRule type="expression" dxfId="5" priority="21">
      <formula>IF(#REF!&lt;&gt;#REF!,COUNTIF(C.F.,#REF!)&gt;1)</formula>
    </cfRule>
  </conditionalFormatting>
  <conditionalFormatting sqref="B23:B24 B33">
    <cfRule type="expression" dxfId="4" priority="20">
      <formula>IF(#REF!&lt;&gt;#REF!,COUNTIF(C.F.,#REF!)&gt;1)</formula>
    </cfRule>
  </conditionalFormatting>
  <conditionalFormatting sqref="B55">
    <cfRule type="expression" dxfId="3" priority="30">
      <formula>AND(B$37&lt;=500,$B$49&lt;=0.7)</formula>
    </cfRule>
    <cfRule type="expression" dxfId="2" priority="31">
      <formula>AND(B$37&gt;500,B$37&lt;=1000,$B$49&lt;=0.8)</formula>
    </cfRule>
    <cfRule type="expression" dxfId="1" priority="32">
      <formula>AND($B$37&gt;1000,$B$49&lt;=0.85)</formula>
    </cfRule>
    <cfRule type="expression" dxfId="0" priority="33">
      <formula>$B$49&gt;=0.7</formula>
    </cfRule>
  </conditionalFormatting>
  <dataValidations disablePrompts="1" count="4">
    <dataValidation type="list" allowBlank="1" showErrorMessage="1" prompt="_x000a_" sqref="B37" xr:uid="{00000000-0002-0000-0000-000000000000}">
      <formula1>Diámetros</formula1>
    </dataValidation>
    <dataValidation type="list" allowBlank="1" showInputMessage="1" showErrorMessage="1" sqref="B23" xr:uid="{00000000-0002-0000-0000-000001000000}">
      <formula1>Estrato</formula1>
    </dataValidation>
    <dataValidation type="list" allowBlank="1" showInputMessage="1" showErrorMessage="1" sqref="B15" xr:uid="{00000000-0002-0000-0000-000002000000}">
      <formula1>Estación</formula1>
    </dataValidation>
    <dataValidation allowBlank="1" showErrorMessage="1" prompt="_x000a_" sqref="B38:B40" xr:uid="{00000000-0002-0000-0000-000003000000}"/>
  </dataValidations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A241"/>
  <sheetViews>
    <sheetView zoomScale="115" zoomScaleNormal="115" workbookViewId="0">
      <selection activeCell="A3" sqref="A3"/>
    </sheetView>
  </sheetViews>
  <sheetFormatPr baseColWidth="10" defaultColWidth="11.44140625" defaultRowHeight="13.8" x14ac:dyDescent="0.3"/>
  <cols>
    <col min="1" max="1" width="13" style="7" bestFit="1" customWidth="1"/>
    <col min="2" max="2" width="15.88671875" style="7" bestFit="1" customWidth="1"/>
    <col min="3" max="3" width="5.44140625" style="7" customWidth="1"/>
    <col min="4" max="4" width="18.6640625" style="7" bestFit="1" customWidth="1"/>
    <col min="5" max="5" width="6.5546875" style="7" bestFit="1" customWidth="1"/>
    <col min="6" max="6" width="6.6640625" style="7" bestFit="1" customWidth="1"/>
    <col min="7" max="7" width="7.109375" style="7" bestFit="1" customWidth="1"/>
    <col min="8" max="8" width="8" style="7" customWidth="1"/>
    <col min="9" max="9" width="7.109375" style="7" bestFit="1" customWidth="1"/>
    <col min="10" max="10" width="11.33203125" style="7" customWidth="1"/>
    <col min="11" max="11" width="13.44140625" style="7" customWidth="1"/>
    <col min="12" max="12" width="11" style="7" customWidth="1"/>
    <col min="13" max="13" width="34.5546875" style="7" customWidth="1"/>
    <col min="14" max="14" width="19.44140625" style="7" customWidth="1"/>
    <col min="15" max="15" width="15.33203125" style="7" customWidth="1"/>
    <col min="16" max="16" width="24.109375" style="7" customWidth="1"/>
    <col min="17" max="17" width="15.6640625" style="7" customWidth="1"/>
    <col min="18" max="18" width="11.5546875" style="7" customWidth="1"/>
    <col min="19" max="19" width="17.109375" style="7" customWidth="1"/>
    <col min="20" max="20" width="19.33203125" style="7" customWidth="1"/>
    <col min="21" max="21" width="30.6640625" style="7" customWidth="1"/>
    <col min="22" max="23" width="30.5546875" style="7" customWidth="1"/>
    <col min="24" max="24" width="21.33203125" style="7" customWidth="1"/>
    <col min="25" max="25" width="19.88671875" style="7" bestFit="1" customWidth="1"/>
    <col min="26" max="26" width="15.6640625" style="7" bestFit="1" customWidth="1"/>
    <col min="27" max="27" width="32.109375" style="7" bestFit="1" customWidth="1"/>
    <col min="28" max="28" width="26.5546875" style="7" bestFit="1" customWidth="1"/>
    <col min="29" max="29" width="25.109375" style="7" bestFit="1" customWidth="1"/>
    <col min="30" max="30" width="43.33203125" style="7" bestFit="1" customWidth="1"/>
    <col min="31" max="31" width="23.33203125" style="7" bestFit="1" customWidth="1"/>
    <col min="32" max="32" width="13.33203125" style="7" bestFit="1" customWidth="1"/>
    <col min="33" max="33" width="28.109375" style="7" bestFit="1" customWidth="1"/>
    <col min="34" max="34" width="37.33203125" style="7" bestFit="1" customWidth="1"/>
    <col min="35" max="35" width="41" style="7" bestFit="1" customWidth="1"/>
    <col min="36" max="36" width="17.44140625" style="7" bestFit="1" customWidth="1"/>
    <col min="37" max="37" width="28.6640625" style="7" bestFit="1" customWidth="1"/>
    <col min="38" max="38" width="18" style="7" bestFit="1" customWidth="1"/>
    <col min="39" max="39" width="21.33203125" style="7" bestFit="1" customWidth="1"/>
    <col min="40" max="40" width="20.6640625" style="7" bestFit="1" customWidth="1"/>
    <col min="41" max="41" width="29.6640625" style="7" bestFit="1" customWidth="1"/>
    <col min="42" max="42" width="10.5546875" style="7" customWidth="1"/>
    <col min="43" max="43" width="13.33203125" style="7" customWidth="1"/>
    <col min="44" max="44" width="16.5546875" style="7" bestFit="1" customWidth="1"/>
    <col min="45" max="45" width="14.5546875" style="7" bestFit="1" customWidth="1"/>
    <col min="46" max="46" width="15.6640625" style="7" bestFit="1" customWidth="1"/>
    <col min="47" max="47" width="29.5546875" style="7" bestFit="1" customWidth="1"/>
    <col min="48" max="48" width="15.88671875" style="7" bestFit="1" customWidth="1"/>
    <col min="49" max="49" width="28.5546875" style="7" bestFit="1" customWidth="1"/>
    <col min="50" max="16384" width="11.44140625" style="7"/>
  </cols>
  <sheetData>
    <row r="1" spans="1:27" ht="28.8" customHeight="1" x14ac:dyDescent="0.3">
      <c r="A1" s="71" t="s">
        <v>72</v>
      </c>
      <c r="B1" s="72"/>
      <c r="D1" s="71" t="s">
        <v>33</v>
      </c>
      <c r="E1" s="72"/>
      <c r="F1" s="72"/>
      <c r="G1" s="72"/>
      <c r="H1" s="14"/>
      <c r="I1" s="71" t="s">
        <v>71</v>
      </c>
      <c r="J1" s="72"/>
      <c r="K1" s="72"/>
      <c r="L1" s="72"/>
      <c r="M1" s="14"/>
      <c r="N1" s="10"/>
      <c r="O1" s="10"/>
      <c r="P1" s="10"/>
      <c r="Q1" s="10"/>
      <c r="R1" s="10"/>
      <c r="S1" s="10"/>
      <c r="T1" s="10"/>
      <c r="U1" s="10"/>
      <c r="V1" s="10"/>
      <c r="W1" s="10"/>
      <c r="Z1" s="10"/>
      <c r="AA1" s="10"/>
    </row>
    <row r="2" spans="1:27" ht="27.6" x14ac:dyDescent="0.3">
      <c r="A2" s="22" t="s">
        <v>19</v>
      </c>
      <c r="B2" s="9" t="s">
        <v>1</v>
      </c>
      <c r="D2" s="8" t="s">
        <v>9</v>
      </c>
      <c r="E2" s="33" t="s">
        <v>10</v>
      </c>
      <c r="F2" s="9" t="s">
        <v>11</v>
      </c>
      <c r="G2" s="12" t="s">
        <v>12</v>
      </c>
      <c r="H2" s="23"/>
      <c r="I2" s="58" t="s">
        <v>65</v>
      </c>
      <c r="J2" s="59" t="s">
        <v>66</v>
      </c>
      <c r="K2" s="58" t="s">
        <v>73</v>
      </c>
      <c r="L2" s="58" t="s">
        <v>67</v>
      </c>
      <c r="M2" s="23"/>
      <c r="N2" s="10"/>
      <c r="O2" s="10"/>
      <c r="P2" s="10"/>
      <c r="Q2" s="10"/>
      <c r="R2" s="10"/>
      <c r="S2" s="10"/>
      <c r="T2" s="10"/>
      <c r="U2" s="10"/>
      <c r="V2" s="10"/>
      <c r="W2" s="10"/>
      <c r="Z2" s="10"/>
      <c r="AA2" s="10"/>
    </row>
    <row r="3" spans="1:27" s="10" customFormat="1" x14ac:dyDescent="0.3">
      <c r="A3" s="73">
        <v>182</v>
      </c>
      <c r="B3" s="74">
        <v>8.9999999999999993E-3</v>
      </c>
      <c r="D3" s="11" t="s">
        <v>20</v>
      </c>
      <c r="E3" s="16">
        <v>1440.6</v>
      </c>
      <c r="F3" s="17">
        <v>12</v>
      </c>
      <c r="G3" s="18">
        <v>-0.84189999999999998</v>
      </c>
      <c r="H3" s="15"/>
      <c r="I3" s="54">
        <v>1</v>
      </c>
      <c r="J3" s="55">
        <v>10.07</v>
      </c>
      <c r="K3" s="56">
        <f>ROUND(J3/(1-0.05),2)</f>
        <v>10.6</v>
      </c>
      <c r="L3" s="56">
        <v>2.6</v>
      </c>
      <c r="M3" s="15"/>
    </row>
    <row r="4" spans="1:27" s="10" customFormat="1" x14ac:dyDescent="0.3">
      <c r="A4" s="73">
        <v>227</v>
      </c>
      <c r="B4" s="74">
        <v>8.9999999999999993E-3</v>
      </c>
      <c r="D4" s="11" t="s">
        <v>21</v>
      </c>
      <c r="E4" s="19">
        <v>6992</v>
      </c>
      <c r="F4" s="17">
        <v>22</v>
      </c>
      <c r="G4" s="18">
        <v>-1.1422000000000001</v>
      </c>
      <c r="H4" s="15"/>
      <c r="I4" s="12">
        <v>2</v>
      </c>
      <c r="J4" s="57">
        <v>11.02</v>
      </c>
      <c r="K4" s="57">
        <f t="shared" ref="K4:K8" si="0">ROUND(J4/(1-0.05),2)</f>
        <v>11.6</v>
      </c>
      <c r="L4" s="57">
        <v>2.6</v>
      </c>
      <c r="M4" s="15"/>
    </row>
    <row r="5" spans="1:27" s="10" customFormat="1" x14ac:dyDescent="0.3">
      <c r="A5" s="73">
        <v>284</v>
      </c>
      <c r="B5" s="74">
        <v>8.9999999999999993E-3</v>
      </c>
      <c r="D5" s="11" t="s">
        <v>22</v>
      </c>
      <c r="E5" s="12">
        <v>6027.1</v>
      </c>
      <c r="F5" s="17">
        <v>21</v>
      </c>
      <c r="G5" s="18">
        <v>-1.0948</v>
      </c>
      <c r="H5" s="15"/>
      <c r="I5" s="54">
        <v>3</v>
      </c>
      <c r="J5" s="55">
        <v>10.71</v>
      </c>
      <c r="K5" s="56">
        <f t="shared" si="0"/>
        <v>11.27</v>
      </c>
      <c r="L5" s="56">
        <v>2.6</v>
      </c>
      <c r="M5" s="15"/>
    </row>
    <row r="6" spans="1:27" s="10" customFormat="1" x14ac:dyDescent="0.3">
      <c r="A6" s="73">
        <v>327</v>
      </c>
      <c r="B6" s="74">
        <v>8.9999999999999993E-3</v>
      </c>
      <c r="D6" s="11" t="s">
        <v>23</v>
      </c>
      <c r="E6" s="19">
        <v>3527.6</v>
      </c>
      <c r="F6" s="17">
        <v>21</v>
      </c>
      <c r="G6" s="18">
        <v>-1.0165999999999999</v>
      </c>
      <c r="H6" s="15"/>
      <c r="I6" s="12">
        <v>4</v>
      </c>
      <c r="J6" s="57">
        <v>10.67</v>
      </c>
      <c r="K6" s="57">
        <f t="shared" si="0"/>
        <v>11.23</v>
      </c>
      <c r="L6" s="57">
        <v>2.6</v>
      </c>
      <c r="M6" s="15"/>
    </row>
    <row r="7" spans="1:27" s="10" customFormat="1" x14ac:dyDescent="0.3">
      <c r="A7" s="73">
        <v>362</v>
      </c>
      <c r="B7" s="74">
        <v>8.9999999999999993E-3</v>
      </c>
      <c r="D7" s="11" t="s">
        <v>24</v>
      </c>
      <c r="E7" s="20">
        <v>1804</v>
      </c>
      <c r="F7" s="17">
        <v>15</v>
      </c>
      <c r="G7" s="18">
        <v>-0.85719999999999996</v>
      </c>
      <c r="H7" s="15"/>
      <c r="I7" s="54">
        <v>5</v>
      </c>
      <c r="J7" s="55">
        <v>11.17</v>
      </c>
      <c r="K7" s="56">
        <f t="shared" si="0"/>
        <v>11.76</v>
      </c>
      <c r="L7" s="56">
        <v>2.6</v>
      </c>
      <c r="M7" s="15"/>
    </row>
    <row r="8" spans="1:27" s="10" customFormat="1" x14ac:dyDescent="0.3">
      <c r="A8" s="73">
        <v>407</v>
      </c>
      <c r="B8" s="74">
        <v>8.9999999999999993E-3</v>
      </c>
      <c r="D8" s="11" t="s">
        <v>25</v>
      </c>
      <c r="E8" s="19">
        <v>4510</v>
      </c>
      <c r="F8" s="17">
        <v>19</v>
      </c>
      <c r="G8" s="18">
        <v>-1.0589999999999999</v>
      </c>
      <c r="H8" s="15"/>
      <c r="I8" s="12">
        <v>6</v>
      </c>
      <c r="J8" s="57">
        <v>13.78</v>
      </c>
      <c r="K8" s="57">
        <f t="shared" si="0"/>
        <v>14.51</v>
      </c>
      <c r="L8" s="57">
        <v>2.6</v>
      </c>
      <c r="M8" s="15"/>
    </row>
    <row r="9" spans="1:27" s="10" customFormat="1" x14ac:dyDescent="0.3">
      <c r="A9" s="73">
        <v>452</v>
      </c>
      <c r="B9" s="74">
        <v>8.9999999999999993E-3</v>
      </c>
      <c r="D9" s="11" t="s">
        <v>26</v>
      </c>
      <c r="E9" s="19">
        <v>11732</v>
      </c>
      <c r="F9" s="17">
        <v>34</v>
      </c>
      <c r="G9" s="18">
        <v>-1.2191000000000001</v>
      </c>
      <c r="H9" s="15"/>
      <c r="M9" s="15"/>
    </row>
    <row r="10" spans="1:27" s="10" customFormat="1" x14ac:dyDescent="0.3">
      <c r="A10" s="73">
        <v>595</v>
      </c>
      <c r="B10" s="74">
        <v>8.9999999999999993E-3</v>
      </c>
      <c r="D10" s="11" t="s">
        <v>36</v>
      </c>
      <c r="E10" s="19">
        <v>18485</v>
      </c>
      <c r="F10" s="17">
        <v>42</v>
      </c>
      <c r="G10" s="18">
        <v>-1.3325</v>
      </c>
      <c r="H10" s="15"/>
      <c r="I10" s="15"/>
      <c r="J10" s="15"/>
      <c r="K10" s="15"/>
      <c r="L10" s="15"/>
      <c r="M10" s="15"/>
    </row>
    <row r="11" spans="1:27" s="10" customFormat="1" x14ac:dyDescent="0.3">
      <c r="A11" s="73">
        <v>670</v>
      </c>
      <c r="B11" s="74">
        <v>8.9999999999999993E-3</v>
      </c>
      <c r="D11" s="11" t="s">
        <v>27</v>
      </c>
      <c r="E11" s="20">
        <v>6245.1</v>
      </c>
      <c r="F11" s="17">
        <v>27</v>
      </c>
      <c r="G11" s="18">
        <v>-1.0919000000000001</v>
      </c>
      <c r="H11" s="15"/>
      <c r="I11" s="15"/>
      <c r="J11" s="15"/>
      <c r="K11" s="15"/>
      <c r="L11" s="15"/>
      <c r="M11" s="15"/>
    </row>
    <row r="12" spans="1:27" s="10" customFormat="1" x14ac:dyDescent="0.3">
      <c r="A12" s="73">
        <v>747</v>
      </c>
      <c r="B12" s="74">
        <v>8.9999999999999993E-3</v>
      </c>
      <c r="D12" s="11" t="s">
        <v>28</v>
      </c>
      <c r="E12" s="19">
        <v>3898.9</v>
      </c>
      <c r="F12" s="17">
        <v>19</v>
      </c>
      <c r="G12" s="18">
        <v>-1.0391999999999999</v>
      </c>
      <c r="H12" s="15"/>
      <c r="I12" s="15"/>
      <c r="J12" s="15"/>
      <c r="K12" s="15"/>
      <c r="L12" s="15"/>
      <c r="M12" s="15"/>
    </row>
    <row r="13" spans="1:27" s="10" customFormat="1" x14ac:dyDescent="0.3">
      <c r="A13" s="73">
        <v>824</v>
      </c>
      <c r="B13" s="74">
        <v>8.9999999999999993E-3</v>
      </c>
      <c r="D13" s="11" t="s">
        <v>29</v>
      </c>
      <c r="E13" s="20">
        <v>2977.7</v>
      </c>
      <c r="F13" s="17">
        <v>19</v>
      </c>
      <c r="G13" s="18">
        <v>-0.99129999999999996</v>
      </c>
      <c r="H13" s="15"/>
      <c r="I13" s="15"/>
      <c r="J13" s="15"/>
      <c r="K13" s="15"/>
      <c r="L13" s="15"/>
      <c r="M13" s="15"/>
    </row>
    <row r="14" spans="1:27" s="10" customFormat="1" x14ac:dyDescent="0.3">
      <c r="A14" s="73">
        <v>900</v>
      </c>
      <c r="B14" s="74">
        <v>8.9999999999999993E-3</v>
      </c>
      <c r="D14" s="11" t="s">
        <v>30</v>
      </c>
      <c r="E14" s="16">
        <v>2978.7</v>
      </c>
      <c r="F14" s="17">
        <v>14</v>
      </c>
      <c r="G14" s="18">
        <v>-0.95369999999999999</v>
      </c>
      <c r="H14" s="15"/>
      <c r="I14" s="15"/>
      <c r="J14" s="15"/>
      <c r="K14" s="15"/>
      <c r="L14" s="15"/>
      <c r="M14" s="15"/>
      <c r="Z14" s="7"/>
      <c r="AA14" s="7"/>
    </row>
    <row r="15" spans="1:27" s="10" customFormat="1" x14ac:dyDescent="0.3">
      <c r="A15" s="75">
        <v>977.6</v>
      </c>
      <c r="B15" s="74">
        <v>8.9999999999999993E-3</v>
      </c>
      <c r="D15" s="11" t="s">
        <v>31</v>
      </c>
      <c r="E15" s="16">
        <v>1307.8</v>
      </c>
      <c r="F15" s="20">
        <v>10</v>
      </c>
      <c r="G15" s="18">
        <v>-0.79749999999999999</v>
      </c>
      <c r="H15" s="15"/>
      <c r="I15" s="15"/>
      <c r="J15" s="15"/>
      <c r="K15" s="15"/>
      <c r="L15" s="15"/>
      <c r="M15" s="15"/>
      <c r="Z15" s="7"/>
      <c r="AA15" s="7"/>
    </row>
    <row r="16" spans="1:27" s="10" customFormat="1" ht="14.4" thickBot="1" x14ac:dyDescent="0.35">
      <c r="A16" s="73">
        <v>1054</v>
      </c>
      <c r="B16" s="74">
        <v>8.9999999999999993E-3</v>
      </c>
      <c r="D16" s="13" t="s">
        <v>32</v>
      </c>
      <c r="E16" s="21">
        <v>3415.4</v>
      </c>
      <c r="F16" s="21">
        <v>12</v>
      </c>
      <c r="G16" s="18">
        <v>-0.98050000000000004</v>
      </c>
      <c r="H16" s="15"/>
      <c r="I16" s="15"/>
      <c r="J16" s="15"/>
      <c r="K16" s="15"/>
      <c r="L16" s="15"/>
      <c r="M16" s="15"/>
      <c r="Z16" s="7"/>
      <c r="AA16" s="7"/>
    </row>
    <row r="17" spans="1:23" x14ac:dyDescent="0.3">
      <c r="A17" s="73">
        <v>200</v>
      </c>
      <c r="B17" s="74">
        <v>1.2999999999999999E-2</v>
      </c>
      <c r="D17" s="10"/>
      <c r="E17" s="10"/>
      <c r="F17" s="10"/>
      <c r="G17" s="10"/>
      <c r="H17" s="10"/>
      <c r="I17" s="34"/>
      <c r="J17" s="34"/>
      <c r="K17" s="34"/>
      <c r="L17" s="3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3">
      <c r="A18" s="73">
        <v>250</v>
      </c>
      <c r="B18" s="74">
        <v>1.2999999999999999E-2</v>
      </c>
      <c r="H18" s="10"/>
      <c r="I18" s="10"/>
      <c r="J18" s="10"/>
      <c r="K18" s="10"/>
    </row>
    <row r="19" spans="1:23" x14ac:dyDescent="0.3">
      <c r="A19" s="73">
        <v>300</v>
      </c>
      <c r="B19" s="74">
        <v>1.2999999999999999E-2</v>
      </c>
      <c r="K19" s="10"/>
    </row>
    <row r="20" spans="1:23" x14ac:dyDescent="0.3">
      <c r="A20" s="73">
        <v>350</v>
      </c>
      <c r="B20" s="74">
        <v>1.2999999999999999E-2</v>
      </c>
    </row>
    <row r="21" spans="1:23" x14ac:dyDescent="0.3">
      <c r="A21" s="73">
        <v>400</v>
      </c>
      <c r="B21" s="74">
        <v>1.2999999999999999E-2</v>
      </c>
    </row>
    <row r="22" spans="1:23" x14ac:dyDescent="0.3">
      <c r="A22" s="73">
        <v>450</v>
      </c>
      <c r="B22" s="74">
        <v>1.2999999999999999E-2</v>
      </c>
    </row>
    <row r="23" spans="1:23" x14ac:dyDescent="0.3">
      <c r="A23" s="73">
        <v>500</v>
      </c>
      <c r="B23" s="74">
        <v>1.2999999999999999E-2</v>
      </c>
    </row>
    <row r="24" spans="1:23" x14ac:dyDescent="0.3">
      <c r="A24" s="73">
        <v>600</v>
      </c>
      <c r="B24" s="74">
        <v>1.2999999999999999E-2</v>
      </c>
    </row>
    <row r="25" spans="1:23" x14ac:dyDescent="0.3">
      <c r="A25" s="73">
        <v>700</v>
      </c>
      <c r="B25" s="74">
        <v>1.2999999999999999E-2</v>
      </c>
    </row>
    <row r="26" spans="1:23" x14ac:dyDescent="0.3">
      <c r="A26" s="73">
        <v>800</v>
      </c>
      <c r="B26" s="74">
        <v>1.2999999999999999E-2</v>
      </c>
    </row>
    <row r="27" spans="1:23" x14ac:dyDescent="0.3">
      <c r="A27" s="73">
        <v>900</v>
      </c>
      <c r="B27" s="74">
        <v>1.2999999999999999E-2</v>
      </c>
    </row>
    <row r="28" spans="1:23" x14ac:dyDescent="0.3">
      <c r="A28" s="73">
        <v>1000</v>
      </c>
      <c r="B28" s="74">
        <v>1.2999999999999999E-2</v>
      </c>
    </row>
    <row r="29" spans="1:23" x14ac:dyDescent="0.3">
      <c r="A29" s="73">
        <v>1100</v>
      </c>
      <c r="B29" s="74">
        <v>1.2999999999999999E-2</v>
      </c>
    </row>
    <row r="30" spans="1:23" x14ac:dyDescent="0.3">
      <c r="A30" s="73">
        <v>1200</v>
      </c>
      <c r="B30" s="74">
        <v>1.2999999999999999E-2</v>
      </c>
    </row>
    <row r="31" spans="1:23" x14ac:dyDescent="0.3">
      <c r="A31" s="73">
        <v>1300</v>
      </c>
      <c r="B31" s="74">
        <v>1.2999999999999999E-2</v>
      </c>
    </row>
    <row r="32" spans="1:23" x14ac:dyDescent="0.3">
      <c r="A32" s="73">
        <v>1400</v>
      </c>
      <c r="B32" s="74">
        <v>1.2999999999999999E-2</v>
      </c>
    </row>
    <row r="33" spans="1:2" x14ac:dyDescent="0.3">
      <c r="A33" s="73">
        <v>1500</v>
      </c>
      <c r="B33" s="74">
        <v>1.2999999999999999E-2</v>
      </c>
    </row>
    <row r="34" spans="1:2" x14ac:dyDescent="0.3">
      <c r="A34" s="73">
        <v>1600</v>
      </c>
      <c r="B34" s="74">
        <v>1.2999999999999999E-2</v>
      </c>
    </row>
    <row r="35" spans="1:2" x14ac:dyDescent="0.3">
      <c r="A35" s="73">
        <v>1700</v>
      </c>
      <c r="B35" s="74">
        <v>1.2999999999999999E-2</v>
      </c>
    </row>
    <row r="36" spans="1:2" x14ac:dyDescent="0.3">
      <c r="A36" s="73">
        <v>375</v>
      </c>
      <c r="B36" s="74">
        <v>1.2999999999999999E-2</v>
      </c>
    </row>
    <row r="37" spans="1:2" x14ac:dyDescent="0.3">
      <c r="A37" s="73">
        <v>650</v>
      </c>
      <c r="B37" s="74">
        <v>1.2999999999999999E-2</v>
      </c>
    </row>
    <row r="38" spans="1:2" x14ac:dyDescent="0.3">
      <c r="A38" s="73">
        <v>675</v>
      </c>
      <c r="B38" s="74">
        <v>1.2999999999999999E-2</v>
      </c>
    </row>
    <row r="39" spans="1:2" x14ac:dyDescent="0.3">
      <c r="A39" s="73">
        <v>750</v>
      </c>
      <c r="B39" s="74">
        <v>1.2999999999999999E-2</v>
      </c>
    </row>
    <row r="40" spans="1:2" x14ac:dyDescent="0.3">
      <c r="A40" s="73">
        <v>825</v>
      </c>
      <c r="B40" s="76">
        <v>1.2999999999999999E-2</v>
      </c>
    </row>
    <row r="56" spans="4:5" x14ac:dyDescent="0.3">
      <c r="D56" s="10"/>
      <c r="E56" s="10"/>
    </row>
    <row r="57" spans="4:5" x14ac:dyDescent="0.3">
      <c r="D57" s="10"/>
      <c r="E57" s="10"/>
    </row>
    <row r="58" spans="4:5" x14ac:dyDescent="0.3">
      <c r="D58" s="10"/>
      <c r="E58" s="10"/>
    </row>
    <row r="59" spans="4:5" x14ac:dyDescent="0.3">
      <c r="D59" s="10"/>
      <c r="E59" s="10"/>
    </row>
    <row r="60" spans="4:5" x14ac:dyDescent="0.3">
      <c r="D60" s="10"/>
      <c r="E60" s="10"/>
    </row>
    <row r="61" spans="4:5" x14ac:dyDescent="0.3">
      <c r="D61" s="10"/>
      <c r="E61" s="10"/>
    </row>
    <row r="62" spans="4:5" x14ac:dyDescent="0.3">
      <c r="D62" s="10"/>
      <c r="E62" s="10"/>
    </row>
    <row r="63" spans="4:5" x14ac:dyDescent="0.3">
      <c r="D63" s="10"/>
      <c r="E63" s="10"/>
    </row>
    <row r="64" spans="4:5" x14ac:dyDescent="0.3">
      <c r="D64" s="10"/>
      <c r="E64" s="10"/>
    </row>
    <row r="65" spans="4:23" x14ac:dyDescent="0.3">
      <c r="D65" s="10"/>
      <c r="E65" s="10"/>
    </row>
    <row r="66" spans="4:23" x14ac:dyDescent="0.3">
      <c r="D66" s="10"/>
      <c r="E66" s="10"/>
    </row>
    <row r="67" spans="4:23" x14ac:dyDescent="0.3">
      <c r="D67" s="10"/>
      <c r="E67" s="10"/>
    </row>
    <row r="68" spans="4:23" x14ac:dyDescent="0.3">
      <c r="D68" s="10"/>
      <c r="E68" s="10"/>
    </row>
    <row r="69" spans="4:23" x14ac:dyDescent="0.3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4:23" x14ac:dyDescent="0.3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4:23" x14ac:dyDescent="0.3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4:23" x14ac:dyDescent="0.3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4:23" x14ac:dyDescent="0.3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4:23" x14ac:dyDescent="0.3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4:23" x14ac:dyDescent="0.3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4:23" x14ac:dyDescent="0.3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4:23" x14ac:dyDescent="0.3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4:23" x14ac:dyDescent="0.3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4:23" x14ac:dyDescent="0.3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4:23" x14ac:dyDescent="0.3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4:23" x14ac:dyDescent="0.3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4:23" x14ac:dyDescent="0.3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4:23" x14ac:dyDescent="0.3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4:23" x14ac:dyDescent="0.3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4:23" x14ac:dyDescent="0.3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4:23" x14ac:dyDescent="0.3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4:23" x14ac:dyDescent="0.3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4:23" x14ac:dyDescent="0.3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4:23" x14ac:dyDescent="0.3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4:23" x14ac:dyDescent="0.3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4:23" x14ac:dyDescent="0.3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4:23" x14ac:dyDescent="0.3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4:23" x14ac:dyDescent="0.3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4:23" x14ac:dyDescent="0.3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4:23" x14ac:dyDescent="0.3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4:23" x14ac:dyDescent="0.3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4:23" x14ac:dyDescent="0.3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4:23" x14ac:dyDescent="0.3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4:23" x14ac:dyDescent="0.3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4:23" x14ac:dyDescent="0.3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4:23" x14ac:dyDescent="0.3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4:23" x14ac:dyDescent="0.3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4:23" x14ac:dyDescent="0.3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4:23" x14ac:dyDescent="0.3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4:23" x14ac:dyDescent="0.3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4:23" x14ac:dyDescent="0.3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4:23" x14ac:dyDescent="0.3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4:23" x14ac:dyDescent="0.3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4:23" x14ac:dyDescent="0.3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4:23" x14ac:dyDescent="0.3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4:23" x14ac:dyDescent="0.3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4:23" x14ac:dyDescent="0.3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4:23" x14ac:dyDescent="0.3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4:23" x14ac:dyDescent="0.3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4:23" x14ac:dyDescent="0.3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4:23" x14ac:dyDescent="0.3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4:23" x14ac:dyDescent="0.3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4:23" x14ac:dyDescent="0.3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4:23" x14ac:dyDescent="0.3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4:23" x14ac:dyDescent="0.3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4:23" x14ac:dyDescent="0.3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4:23" x14ac:dyDescent="0.3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4:23" x14ac:dyDescent="0.3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4:23" x14ac:dyDescent="0.3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4:23" x14ac:dyDescent="0.3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4:23" x14ac:dyDescent="0.3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4:23" x14ac:dyDescent="0.3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4:23" x14ac:dyDescent="0.3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4:23" x14ac:dyDescent="0.3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4:23" x14ac:dyDescent="0.3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4:23" x14ac:dyDescent="0.3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4:23" x14ac:dyDescent="0.3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4:23" x14ac:dyDescent="0.3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4:23" x14ac:dyDescent="0.3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4:23" x14ac:dyDescent="0.3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4:23" x14ac:dyDescent="0.3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4:23" x14ac:dyDescent="0.3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4:23" x14ac:dyDescent="0.3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4:23" x14ac:dyDescent="0.3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4:23" x14ac:dyDescent="0.3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4:23" x14ac:dyDescent="0.3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4:23" x14ac:dyDescent="0.3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4:23" x14ac:dyDescent="0.3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4:23" x14ac:dyDescent="0.3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4:23" x14ac:dyDescent="0.3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4:23" x14ac:dyDescent="0.3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4:23" x14ac:dyDescent="0.3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4:23" x14ac:dyDescent="0.3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4:23" x14ac:dyDescent="0.3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4:23" x14ac:dyDescent="0.3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4:23" x14ac:dyDescent="0.3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4:23" x14ac:dyDescent="0.3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4:23" x14ac:dyDescent="0.3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4:23" x14ac:dyDescent="0.3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4:23" x14ac:dyDescent="0.3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4:23" x14ac:dyDescent="0.3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4:23" x14ac:dyDescent="0.3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4:23" x14ac:dyDescent="0.3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4:23" x14ac:dyDescent="0.3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4:23" x14ac:dyDescent="0.3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4:23" x14ac:dyDescent="0.3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4:23" x14ac:dyDescent="0.3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4:23" x14ac:dyDescent="0.3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4:23" x14ac:dyDescent="0.3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4:23" x14ac:dyDescent="0.3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4:23" x14ac:dyDescent="0.3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4:23" x14ac:dyDescent="0.3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4:23" x14ac:dyDescent="0.3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4:23" x14ac:dyDescent="0.3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4:23" x14ac:dyDescent="0.3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4:23" x14ac:dyDescent="0.3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4:23" x14ac:dyDescent="0.3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4:23" x14ac:dyDescent="0.3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4:23" x14ac:dyDescent="0.3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4:23" x14ac:dyDescent="0.3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4:23" x14ac:dyDescent="0.3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4:23" x14ac:dyDescent="0.3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4:23" x14ac:dyDescent="0.3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4:23" x14ac:dyDescent="0.3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4:23" x14ac:dyDescent="0.3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4:23" x14ac:dyDescent="0.3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4:23" x14ac:dyDescent="0.3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4:23" x14ac:dyDescent="0.3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4:23" x14ac:dyDescent="0.3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4:23" x14ac:dyDescent="0.3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4:23" x14ac:dyDescent="0.3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4:23" x14ac:dyDescent="0.3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4:23" x14ac:dyDescent="0.3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4:23" x14ac:dyDescent="0.3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4:23" x14ac:dyDescent="0.3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4:23" x14ac:dyDescent="0.3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4:23" x14ac:dyDescent="0.3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4:23" x14ac:dyDescent="0.3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4:23" x14ac:dyDescent="0.3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4:23" x14ac:dyDescent="0.3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4:23" x14ac:dyDescent="0.3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4:23" x14ac:dyDescent="0.3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4:23" x14ac:dyDescent="0.3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4:23" x14ac:dyDescent="0.3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4:23" x14ac:dyDescent="0.3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4:23" x14ac:dyDescent="0.3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4:23" x14ac:dyDescent="0.3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4:23" x14ac:dyDescent="0.3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4:23" x14ac:dyDescent="0.3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4:23" x14ac:dyDescent="0.3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4:23" x14ac:dyDescent="0.3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4:23" x14ac:dyDescent="0.3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4:23" x14ac:dyDescent="0.3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4:23" x14ac:dyDescent="0.3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4:23" x14ac:dyDescent="0.3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4:23" x14ac:dyDescent="0.3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4:23" x14ac:dyDescent="0.3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4:23" x14ac:dyDescent="0.3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4:23" x14ac:dyDescent="0.3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4:23" x14ac:dyDescent="0.3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4:23" x14ac:dyDescent="0.3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4:23" x14ac:dyDescent="0.3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4:23" x14ac:dyDescent="0.3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4:23" x14ac:dyDescent="0.3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4:23" x14ac:dyDescent="0.3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4:23" x14ac:dyDescent="0.3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4:23" x14ac:dyDescent="0.3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4:23" x14ac:dyDescent="0.3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4:23" x14ac:dyDescent="0.3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4:23" x14ac:dyDescent="0.3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4:23" x14ac:dyDescent="0.3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4:23" x14ac:dyDescent="0.3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4:23" x14ac:dyDescent="0.3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4:23" x14ac:dyDescent="0.3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4:23" x14ac:dyDescent="0.3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4:23" x14ac:dyDescent="0.3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4:23" x14ac:dyDescent="0.3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4:23" x14ac:dyDescent="0.3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4:23" x14ac:dyDescent="0.3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4:23" x14ac:dyDescent="0.3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4:23" x14ac:dyDescent="0.3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4:23" x14ac:dyDescent="0.3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4:23" x14ac:dyDescent="0.3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4:23" x14ac:dyDescent="0.3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4:23" x14ac:dyDescent="0.3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4:23" x14ac:dyDescent="0.3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</sheetData>
  <mergeCells count="3">
    <mergeCell ref="D1:G1"/>
    <mergeCell ref="A1:B1"/>
    <mergeCell ref="I1:L1"/>
  </mergeCells>
  <pageMargins left="0.7" right="0.7" top="0.75" bottom="0.75" header="0.3" footer="0.3"/>
  <pageSetup paperSize="9" orientation="portrait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Cálculo de tramos de empalme</vt:lpstr>
      <vt:lpstr>Tablas</vt:lpstr>
      <vt:lpstr>'Cálculo de tramos de empalme'!Área_de_impresión</vt:lpstr>
      <vt:lpstr>Diámetros</vt:lpstr>
      <vt:lpstr>Estación</vt:lpstr>
      <vt:lpstr>Estrato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Alcantarillado combinado EPM Versión1</dc:title>
  <dc:subject>Verificación de diseños de redes de Alcantarillado</dc:subject>
  <dc:creator>EPM</dc:creator>
  <cp:lastModifiedBy>CARLOS ALBERTO VELEZ MESA</cp:lastModifiedBy>
  <cp:revision>0</cp:revision>
  <cp:lastPrinted>2015-02-17T20:25:30Z</cp:lastPrinted>
  <dcterms:created xsi:type="dcterms:W3CDTF">2011-02-10T12:24:55Z</dcterms:created>
  <dcterms:modified xsi:type="dcterms:W3CDTF">2025-02-13T12:27:52Z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</Properties>
</file>