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velezm\Downloads\"/>
    </mc:Choice>
  </mc:AlternateContent>
  <xr:revisionPtr revIDLastSave="0" documentId="13_ncr:1_{255E0B02-4F74-4C6C-A7F6-9AC92B45668F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Sistema con bombeo" sheetId="1" r:id="rId1"/>
    <sheet name="Presión directa de la red" sheetId="8" r:id="rId2"/>
    <sheet name="Mixto" sheetId="9" r:id="rId3"/>
  </sheets>
  <definedNames>
    <definedName name="_xlnm.Print_Area" localSheetId="2">Mixto!$A$1:$D$80</definedName>
    <definedName name="_xlnm.Print_Area" localSheetId="1">'Presión directa de la red'!$A$1:$D$70</definedName>
    <definedName name="_xlnm.Print_Area" localSheetId="0">'Sistema con bombeo'!$A$1:$B$44</definedName>
    <definedName name="_xlnm.Print_Titles" localSheetId="2">Mixto!$1:$3</definedName>
    <definedName name="_xlnm.Print_Titles" localSheetId="1">'Presión directa de la red'!$1:$3</definedName>
    <definedName name="_xlnm.Print_Titles" localSheetId="0">'Sistema con bombeo'!$1:$3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2" i="1" l="1"/>
  <c r="B10" i="1"/>
  <c r="B7" i="1"/>
  <c r="B8" i="1" s="1"/>
  <c r="B7" i="9"/>
  <c r="B8" i="9" l="1"/>
  <c r="B43" i="9"/>
  <c r="I31" i="9"/>
  <c r="I30" i="9"/>
  <c r="C38" i="9"/>
  <c r="B39" i="9" s="1"/>
  <c r="I29" i="9"/>
  <c r="D37" i="9"/>
  <c r="I28" i="9"/>
  <c r="D36" i="9"/>
  <c r="I27" i="9"/>
  <c r="D35" i="9"/>
  <c r="I26" i="9"/>
  <c r="D34" i="9"/>
  <c r="I25" i="9"/>
  <c r="D33" i="9"/>
  <c r="I24" i="9"/>
  <c r="D32" i="9"/>
  <c r="G23" i="9"/>
  <c r="I23" i="9" s="1"/>
  <c r="D31" i="9"/>
  <c r="D30" i="9"/>
  <c r="D29" i="9"/>
  <c r="D28" i="9"/>
  <c r="I19" i="9"/>
  <c r="H19" i="9"/>
  <c r="D27" i="9"/>
  <c r="I18" i="9"/>
  <c r="H18" i="9"/>
  <c r="D26" i="9"/>
  <c r="I17" i="9"/>
  <c r="H17" i="9"/>
  <c r="D25" i="9"/>
  <c r="I16" i="9"/>
  <c r="H16" i="9"/>
  <c r="D24" i="9"/>
  <c r="I15" i="9"/>
  <c r="H15" i="9"/>
  <c r="D23" i="9"/>
  <c r="I14" i="9"/>
  <c r="D22" i="9"/>
  <c r="D21" i="9"/>
  <c r="D20" i="9"/>
  <c r="D19" i="9"/>
  <c r="I10" i="9"/>
  <c r="H10" i="9"/>
  <c r="D18" i="9"/>
  <c r="I9" i="9"/>
  <c r="H9" i="9"/>
  <c r="D17" i="9"/>
  <c r="I8" i="9"/>
  <c r="H8" i="9"/>
  <c r="D16" i="9"/>
  <c r="I7" i="9"/>
  <c r="H7" i="9"/>
  <c r="I6" i="9"/>
  <c r="H6" i="9"/>
  <c r="I5" i="9"/>
  <c r="H5" i="9"/>
  <c r="I4" i="9"/>
  <c r="H4" i="9"/>
  <c r="I3" i="9"/>
  <c r="B33" i="8"/>
  <c r="C28" i="8"/>
  <c r="B29" i="8" s="1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I31" i="8"/>
  <c r="I30" i="8"/>
  <c r="I29" i="8"/>
  <c r="I28" i="8"/>
  <c r="I27" i="8"/>
  <c r="I26" i="8"/>
  <c r="I25" i="8"/>
  <c r="I24" i="8"/>
  <c r="G23" i="8"/>
  <c r="I23" i="8" s="1"/>
  <c r="I19" i="8"/>
  <c r="H19" i="8"/>
  <c r="I18" i="8"/>
  <c r="H18" i="8"/>
  <c r="I17" i="8"/>
  <c r="H17" i="8"/>
  <c r="I16" i="8"/>
  <c r="H16" i="8"/>
  <c r="I15" i="8"/>
  <c r="H15" i="8"/>
  <c r="I14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G14" i="1"/>
  <c r="G16" i="1"/>
  <c r="G17" i="1"/>
  <c r="G18" i="1"/>
  <c r="G19" i="1"/>
  <c r="G15" i="1"/>
  <c r="F16" i="1"/>
  <c r="F17" i="1"/>
  <c r="F18" i="1"/>
  <c r="F19" i="1"/>
  <c r="F15" i="1"/>
  <c r="F5" i="1"/>
  <c r="F6" i="1"/>
  <c r="F7" i="1"/>
  <c r="F8" i="1"/>
  <c r="F9" i="1"/>
  <c r="F10" i="1"/>
  <c r="G5" i="1"/>
  <c r="G6" i="1"/>
  <c r="G7" i="1"/>
  <c r="G8" i="1"/>
  <c r="G9" i="1"/>
  <c r="G10" i="1"/>
  <c r="G3" i="1"/>
  <c r="G4" i="1"/>
  <c r="F4" i="1"/>
  <c r="B10" i="9" l="1"/>
  <c r="B12" i="9" s="1"/>
  <c r="D38" i="9"/>
  <c r="B44" i="9" s="1"/>
  <c r="B45" i="9" s="1"/>
  <c r="D28" i="8"/>
  <c r="B34" i="8" s="1"/>
  <c r="B35" i="8" s="1"/>
  <c r="B48" i="9" l="1"/>
  <c r="J25" i="9" s="1"/>
  <c r="J24" i="9"/>
  <c r="B38" i="8"/>
  <c r="J23" i="9" l="1"/>
  <c r="J31" i="9"/>
  <c r="K31" i="9" s="1"/>
  <c r="B80" i="9" s="1"/>
  <c r="J30" i="9"/>
  <c r="J29" i="9"/>
  <c r="A78" i="9" s="1"/>
  <c r="J28" i="9"/>
  <c r="K28" i="9" s="1"/>
  <c r="B77" i="9" s="1"/>
  <c r="J27" i="9"/>
  <c r="A76" i="9" s="1"/>
  <c r="J26" i="9"/>
  <c r="A75" i="9" s="1"/>
  <c r="J27" i="8"/>
  <c r="K27" i="8" s="1"/>
  <c r="B66" i="8" s="1"/>
  <c r="J30" i="8"/>
  <c r="J26" i="8"/>
  <c r="K26" i="8" s="1"/>
  <c r="B65" i="8" s="1"/>
  <c r="J28" i="8"/>
  <c r="K28" i="8" s="1"/>
  <c r="B67" i="8" s="1"/>
  <c r="J29" i="8"/>
  <c r="K29" i="8" s="1"/>
  <c r="B68" i="8" s="1"/>
  <c r="J31" i="8"/>
  <c r="K31" i="8" s="1"/>
  <c r="B70" i="8" s="1"/>
  <c r="J23" i="8"/>
  <c r="K23" i="8" s="1"/>
  <c r="B62" i="8" s="1"/>
  <c r="J24" i="8"/>
  <c r="K24" i="8" s="1"/>
  <c r="B63" i="8" s="1"/>
  <c r="J25" i="8"/>
  <c r="K25" i="8" s="1"/>
  <c r="B64" i="8" s="1"/>
  <c r="A68" i="8"/>
  <c r="A70" i="8"/>
  <c r="A62" i="8"/>
  <c r="J18" i="9"/>
  <c r="J15" i="9"/>
  <c r="J10" i="9"/>
  <c r="J19" i="9"/>
  <c r="J9" i="9"/>
  <c r="J16" i="9"/>
  <c r="J6" i="9"/>
  <c r="J17" i="9"/>
  <c r="J8" i="9"/>
  <c r="J5" i="9"/>
  <c r="J7" i="9"/>
  <c r="J4" i="9"/>
  <c r="J14" i="9"/>
  <c r="J3" i="9"/>
  <c r="A73" i="9"/>
  <c r="K24" i="9"/>
  <c r="B73" i="9" s="1"/>
  <c r="A74" i="9"/>
  <c r="K25" i="9"/>
  <c r="B74" i="9" s="1"/>
  <c r="A80" i="9"/>
  <c r="K30" i="9"/>
  <c r="B79" i="9" s="1"/>
  <c r="A79" i="9"/>
  <c r="A72" i="9"/>
  <c r="K23" i="9"/>
  <c r="B72" i="9" s="1"/>
  <c r="J17" i="8"/>
  <c r="K17" i="8" s="1"/>
  <c r="B56" i="8" s="1"/>
  <c r="J18" i="8"/>
  <c r="K18" i="8" s="1"/>
  <c r="B57" i="8" s="1"/>
  <c r="J19" i="8"/>
  <c r="K19" i="8" s="1"/>
  <c r="B58" i="8" s="1"/>
  <c r="J15" i="8"/>
  <c r="K15" i="8" s="1"/>
  <c r="B54" i="8" s="1"/>
  <c r="J16" i="8"/>
  <c r="K16" i="8" s="1"/>
  <c r="B55" i="8" s="1"/>
  <c r="J14" i="8"/>
  <c r="K14" i="8" s="1"/>
  <c r="B53" i="8" s="1"/>
  <c r="J4" i="8"/>
  <c r="K4" i="8" s="1"/>
  <c r="B43" i="8" s="1"/>
  <c r="J3" i="8"/>
  <c r="K3" i="8" s="1"/>
  <c r="B42" i="8" s="1"/>
  <c r="J9" i="8"/>
  <c r="J6" i="8"/>
  <c r="A45" i="8" s="1"/>
  <c r="J8" i="8"/>
  <c r="K8" i="8" s="1"/>
  <c r="B47" i="8" s="1"/>
  <c r="J7" i="8"/>
  <c r="K7" i="8" s="1"/>
  <c r="B46" i="8" s="1"/>
  <c r="J5" i="8"/>
  <c r="K5" i="8" s="1"/>
  <c r="B44" i="8" s="1"/>
  <c r="J10" i="8"/>
  <c r="K30" i="8"/>
  <c r="B69" i="8" s="1"/>
  <c r="A69" i="8"/>
  <c r="K26" i="9" l="1"/>
  <c r="B75" i="9" s="1"/>
  <c r="K27" i="9"/>
  <c r="B76" i="9" s="1"/>
  <c r="K29" i="9"/>
  <c r="B78" i="9" s="1"/>
  <c r="A77" i="9"/>
  <c r="A53" i="8"/>
  <c r="A64" i="8"/>
  <c r="A67" i="8"/>
  <c r="A65" i="8"/>
  <c r="A46" i="8"/>
  <c r="A63" i="8"/>
  <c r="A66" i="8"/>
  <c r="A47" i="8"/>
  <c r="K6" i="8"/>
  <c r="B45" i="8" s="1"/>
  <c r="A56" i="9"/>
  <c r="K7" i="9"/>
  <c r="B56" i="9" s="1"/>
  <c r="A65" i="9"/>
  <c r="K16" i="9"/>
  <c r="B65" i="9" s="1"/>
  <c r="K8" i="9"/>
  <c r="B57" i="9" s="1"/>
  <c r="A57" i="9"/>
  <c r="K4" i="9"/>
  <c r="B53" i="9" s="1"/>
  <c r="A53" i="9"/>
  <c r="K5" i="9"/>
  <c r="B54" i="9" s="1"/>
  <c r="A54" i="9"/>
  <c r="K17" i="9"/>
  <c r="B66" i="9" s="1"/>
  <c r="A66" i="9"/>
  <c r="K9" i="9"/>
  <c r="B58" i="9" s="1"/>
  <c r="A58" i="9"/>
  <c r="A68" i="9"/>
  <c r="K19" i="9"/>
  <c r="B68" i="9" s="1"/>
  <c r="A59" i="9"/>
  <c r="K10" i="9"/>
  <c r="B59" i="9" s="1"/>
  <c r="A52" i="9"/>
  <c r="K3" i="9"/>
  <c r="B52" i="9" s="1"/>
  <c r="A64" i="9"/>
  <c r="K15" i="9"/>
  <c r="B64" i="9" s="1"/>
  <c r="A55" i="9"/>
  <c r="K6" i="9"/>
  <c r="B55" i="9" s="1"/>
  <c r="A63" i="9"/>
  <c r="K14" i="9"/>
  <c r="B63" i="9" s="1"/>
  <c r="K18" i="9"/>
  <c r="B67" i="9" s="1"/>
  <c r="A67" i="9"/>
  <c r="A58" i="8"/>
  <c r="A55" i="8"/>
  <c r="A57" i="8"/>
  <c r="A54" i="8"/>
  <c r="K9" i="8"/>
  <c r="B48" i="8" s="1"/>
  <c r="A48" i="8"/>
  <c r="K10" i="8"/>
  <c r="B49" i="8" s="1"/>
  <c r="A49" i="8"/>
  <c r="A42" i="8"/>
  <c r="A56" i="8"/>
  <c r="A43" i="8"/>
  <c r="A44" i="8"/>
  <c r="E23" i="1" l="1"/>
  <c r="G23" i="1" s="1"/>
  <c r="G31" i="1" l="1"/>
  <c r="G24" i="1" l="1"/>
  <c r="G25" i="1"/>
  <c r="G26" i="1"/>
  <c r="G27" i="1"/>
  <c r="G28" i="1"/>
  <c r="G29" i="1"/>
  <c r="G30" i="1"/>
  <c r="H14" i="1" l="1"/>
  <c r="H3" i="1"/>
  <c r="H6" i="1"/>
  <c r="A19" i="1" s="1"/>
  <c r="H23" i="1"/>
  <c r="H26" i="1"/>
  <c r="H30" i="1"/>
  <c r="H27" i="1"/>
  <c r="H31" i="1"/>
  <c r="H24" i="1"/>
  <c r="H28" i="1"/>
  <c r="H25" i="1"/>
  <c r="H29" i="1"/>
  <c r="H19" i="1"/>
  <c r="H10" i="1"/>
  <c r="H4" i="1"/>
  <c r="H8" i="1"/>
  <c r="H16" i="1"/>
  <c r="H15" i="1"/>
  <c r="H7" i="1"/>
  <c r="H18" i="1"/>
  <c r="H5" i="1"/>
  <c r="H9" i="1"/>
  <c r="H17" i="1"/>
  <c r="I25" i="1" l="1"/>
  <c r="B38" i="1" s="1"/>
  <c r="A38" i="1"/>
  <c r="I29" i="1"/>
  <c r="B42" i="1" s="1"/>
  <c r="A42" i="1"/>
  <c r="I24" i="1"/>
  <c r="B37" i="1" s="1"/>
  <c r="A37" i="1"/>
  <c r="I28" i="1"/>
  <c r="B41" i="1" s="1"/>
  <c r="A41" i="1"/>
  <c r="I31" i="1"/>
  <c r="B44" i="1" s="1"/>
  <c r="A44" i="1"/>
  <c r="I27" i="1"/>
  <c r="B40" i="1" s="1"/>
  <c r="A40" i="1"/>
  <c r="I30" i="1"/>
  <c r="B43" i="1" s="1"/>
  <c r="A43" i="1"/>
  <c r="I26" i="1"/>
  <c r="B39" i="1" s="1"/>
  <c r="A39" i="1"/>
  <c r="I23" i="1"/>
  <c r="B36" i="1" s="1"/>
  <c r="A36" i="1"/>
  <c r="A29" i="1"/>
  <c r="I17" i="1"/>
  <c r="B30" i="1" s="1"/>
  <c r="A30" i="1"/>
  <c r="I18" i="1"/>
  <c r="B31" i="1" s="1"/>
  <c r="A31" i="1"/>
  <c r="A28" i="1"/>
  <c r="I19" i="1"/>
  <c r="B32" i="1" s="1"/>
  <c r="A32" i="1"/>
  <c r="I14" i="1"/>
  <c r="B27" i="1" s="1"/>
  <c r="A27" i="1"/>
  <c r="I5" i="1"/>
  <c r="B18" i="1" s="1"/>
  <c r="A18" i="1"/>
  <c r="I7" i="1"/>
  <c r="B20" i="1" s="1"/>
  <c r="A20" i="1"/>
  <c r="A17" i="1"/>
  <c r="I8" i="1"/>
  <c r="B21" i="1" s="1"/>
  <c r="A21" i="1"/>
  <c r="A23" i="1"/>
  <c r="A16" i="1"/>
  <c r="I9" i="1"/>
  <c r="B22" i="1" s="1"/>
  <c r="A22" i="1"/>
  <c r="I6" i="1"/>
  <c r="B19" i="1" s="1"/>
  <c r="I4" i="1"/>
  <c r="B17" i="1" s="1"/>
  <c r="I10" i="1"/>
  <c r="B23" i="1" s="1"/>
  <c r="I3" i="1"/>
  <c r="B16" i="1" s="1"/>
  <c r="I15" i="1"/>
  <c r="B28" i="1" s="1"/>
  <c r="I16" i="1"/>
  <c r="B29" i="1" s="1"/>
</calcChain>
</file>

<file path=xl/sharedStrings.xml><?xml version="1.0" encoding="utf-8"?>
<sst xmlns="http://schemas.openxmlformats.org/spreadsheetml/2006/main" count="236" uniqueCount="83">
  <si>
    <t>Aparatos</t>
  </si>
  <si>
    <t>Caudal por Aparato</t>
  </si>
  <si>
    <t>Lavamanos</t>
  </si>
  <si>
    <t>Lavabo</t>
  </si>
  <si>
    <t>Ducha</t>
  </si>
  <si>
    <t>Bañera L&gt;= 1,40 m</t>
  </si>
  <si>
    <t>Bañera L&lt; 1,40 m</t>
  </si>
  <si>
    <t>Bidé</t>
  </si>
  <si>
    <t>Inodoro  con tanque  (cisterna)</t>
  </si>
  <si>
    <t>Inodoro con fluxómetro</t>
  </si>
  <si>
    <t xml:space="preserve">Orinal con tanque (Urinarios con cisterna (c/u)) </t>
  </si>
  <si>
    <t>Fregadero doméstico</t>
  </si>
  <si>
    <t>Fregadero no doméstico</t>
  </si>
  <si>
    <t>Lavavajillas doméstico</t>
  </si>
  <si>
    <t>Lavavajillas industrial (20 servicios)</t>
  </si>
  <si>
    <t>Lavadero</t>
  </si>
  <si>
    <t>Lavadora doméstica</t>
  </si>
  <si>
    <t>Lavadora industrial (8 kg)</t>
  </si>
  <si>
    <t>Grifo garaje</t>
  </si>
  <si>
    <t>Vertedero</t>
  </si>
  <si>
    <t>Total</t>
  </si>
  <si>
    <t>Empresas Públicas de Medellín E.S.P.</t>
  </si>
  <si>
    <t>Nº. Aparatos</t>
  </si>
  <si>
    <t>Rango calculado</t>
  </si>
  <si>
    <t>Diámetro</t>
  </si>
  <si>
    <t>Medidores que cumplen</t>
  </si>
  <si>
    <t>Diámetro interno</t>
  </si>
  <si>
    <t>Acometida</t>
  </si>
  <si>
    <t>Velocidad máx. [m/s]</t>
  </si>
  <si>
    <t>Caudal máx. [l/s]</t>
  </si>
  <si>
    <t>Número de viviendas:</t>
  </si>
  <si>
    <t>Tiempo de llenado de tanque:</t>
  </si>
  <si>
    <t>Caudal:</t>
  </si>
  <si>
    <t>Velocidad</t>
  </si>
  <si>
    <t>Cantidad de instalaciones del mismo tipo:</t>
  </si>
  <si>
    <t>Simultaneidad por aparatos Kv</t>
  </si>
  <si>
    <t>Caudal máximo probable Qmaxe:</t>
  </si>
  <si>
    <t>Simultaneidad por instalación repetida Ke:</t>
  </si>
  <si>
    <t>Caudal total</t>
  </si>
  <si>
    <t>Pozuelo o grifo aislado</t>
  </si>
  <si>
    <t>Se deberá verificar que la velocidad en el medidor no sea muy alta con el objeto de controlar ruidos y vibraciones.</t>
  </si>
  <si>
    <t>Dotación neta:</t>
  </si>
  <si>
    <t>Estrato</t>
  </si>
  <si>
    <t>Estrato:</t>
  </si>
  <si>
    <t>Notas:</t>
  </si>
  <si>
    <t>Consumos por estrato</t>
  </si>
  <si>
    <t>Medidores mecánicos</t>
  </si>
  <si>
    <t>3. Cálculo del caudal aportada por cada local, oficina, etc.</t>
  </si>
  <si>
    <t>4. Caudal aportado por el sistema con presión directa de la red</t>
  </si>
  <si>
    <t>5. Caudal que pasará por la acometida y medidor</t>
  </si>
  <si>
    <t>Este aplicativo contiene ecuaciones que permiten el cálculo del dimensionamiento de acometidas y medidores; sin embargo EPM no asume responsabilidad alguna por su uso. El usuario deberá validar los criterios contenidos en el aplicativo y revisar los resultados.</t>
  </si>
  <si>
    <t>PE80 PN16</t>
  </si>
  <si>
    <t>PE100 PN16</t>
  </si>
  <si>
    <t>Medidores ultrasónicos</t>
  </si>
  <si>
    <t>Versión 3</t>
  </si>
  <si>
    <t>4. Medidores mecánicos adecuados</t>
  </si>
  <si>
    <t>Diámetro de la acometida</t>
  </si>
  <si>
    <t>Velocidad en la acometida</t>
  </si>
  <si>
    <t>5. Acometida adecuadas</t>
  </si>
  <si>
    <t>1. Cálculo del caudal aportada por cada local, oficina, etc.</t>
  </si>
  <si>
    <t>2. Caudal aportado por el sistema con presión directa de la red</t>
  </si>
  <si>
    <t>3. Caudal que pasará por la acometida y medidor</t>
  </si>
  <si>
    <t>5. Medidores ultrasónicos adecuados</t>
  </si>
  <si>
    <t>6. Acometida adecuadas</t>
  </si>
  <si>
    <t>6. Medidores mecánicos adecuados</t>
  </si>
  <si>
    <t>7. Medidores ultrasónicos adecuados</t>
  </si>
  <si>
    <t>8. Acometida adecuadas</t>
  </si>
  <si>
    <t>Cálculo del dimensionamiento de acometida y medidor para suministro con sistema de bombeo</t>
  </si>
  <si>
    <t>Cálculo del dimensionamiento de acometida y medidor para suministro presión directa de la red</t>
  </si>
  <si>
    <t>Cálculo del dimensionamiento de acometida y medidor para suministro de forma mixta (Bombeo y presión directa de la red)</t>
  </si>
  <si>
    <t>Diámetros de los medidores</t>
  </si>
  <si>
    <t>Orinal (Urinarios) con grifo temporizado Fluxómetro</t>
  </si>
  <si>
    <t>1. Determinación del Volumen del tanque para el sector residencial</t>
  </si>
  <si>
    <t>1. Determinación del volumen del tanque</t>
  </si>
  <si>
    <t>Volumen del tanque a llenar o consumo diario estimado:</t>
  </si>
  <si>
    <t>2. Medidores mecánicos adecuados</t>
  </si>
  <si>
    <t>3. Medidores ultrasónicos adecuados</t>
  </si>
  <si>
    <t>Caudal de llenado del tanque:</t>
  </si>
  <si>
    <t>Consumo mensual del sector residencial:</t>
  </si>
  <si>
    <t>Consumo mensual del sector no residencial:</t>
  </si>
  <si>
    <r>
      <t>Q3 [m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/h]</t>
    </r>
  </si>
  <si>
    <r>
      <t>Mínimo [m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/h]</t>
    </r>
  </si>
  <si>
    <r>
      <t>Máximo [m</t>
    </r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/h]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</si>
</sst>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0.000"/>
    <numFmt numFmtId="165" formatCode="0.00\ &quot;m³/h&quot;"/>
    <numFmt numFmtId="166" formatCode="0.00\ &quot;L/s&quot;"/>
    <numFmt numFmtId="167" formatCode="0.00\ &quot;m³&quot;"/>
    <numFmt numFmtId="168" formatCode="0\ &quot;horas&quot;"/>
    <numFmt numFmtId="169" formatCode="_ [$€-2]\ * #,##0.00_ ;_ [$€-2]\ * \-#,##0.00_ ;_ [$€-2]\ * &quot;-&quot;??_ "/>
    <numFmt numFmtId="170" formatCode="0.00\ &quot;m³/viv-mes&quot;"/>
    <numFmt numFmtId="171" formatCode="00&quot; mm&quot;"/>
    <numFmt numFmtId="172" formatCode="0.00&quot; m/s&quot;"/>
    <numFmt numFmtId="173" formatCode="00&quot; mca&quot;"/>
    <numFmt numFmtId="174" formatCode="0.00\ &quot;m³/mes&quot;"/>
    <numFmt numFmtId="175" formatCode="00.0&quot; mm&quot;"/>
    <numFmt numFmtId="176" formatCode="0.0"/>
    <numFmt numFmtId="177" formatCode="0.0\ &quot;m³/mes&quot;"/>
    <numFmt numFmtId="178" formatCode="0.0\ &quot;m³&quot;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AE57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169" fontId="1" fillId="0" borderId="0" applyFont="0" applyFill="0" applyBorder="0" applyAlignment="0" applyProtection="0"/>
  </cellStyleXfs>
  <cellXfs count="92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Continuous" wrapText="1"/>
    </xf>
    <xf numFmtId="0" fontId="3" fillId="0" borderId="1" xfId="1" applyFont="1" applyBorder="1"/>
    <xf numFmtId="165" fontId="3" fillId="0" borderId="0" xfId="1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1" fillId="0" borderId="0" xfId="1"/>
    <xf numFmtId="171" fontId="2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17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1" applyFont="1" applyBorder="1" applyAlignment="1">
      <alignment horizontal="center"/>
    </xf>
    <xf numFmtId="171" fontId="2" fillId="0" borderId="5" xfId="0" applyNumberFormat="1" applyFont="1" applyBorder="1" applyAlignment="1">
      <alignment horizontal="center"/>
    </xf>
    <xf numFmtId="2" fontId="3" fillId="0" borderId="5" xfId="0" applyNumberFormat="1" applyFont="1" applyBorder="1" applyAlignment="1">
      <alignment horizontal="center"/>
    </xf>
    <xf numFmtId="171" fontId="2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3" borderId="3" xfId="0" applyFont="1" applyFill="1" applyBorder="1" applyAlignment="1">
      <alignment horizontal="centerContinuous" vertical="center" wrapText="1"/>
    </xf>
    <xf numFmtId="0" fontId="3" fillId="3" borderId="3" xfId="0" applyFont="1" applyFill="1" applyBorder="1" applyAlignment="1">
      <alignment horizontal="center" vertical="center" wrapText="1"/>
    </xf>
    <xf numFmtId="175" fontId="2" fillId="0" borderId="1" xfId="0" applyNumberFormat="1" applyFont="1" applyBorder="1" applyAlignment="1">
      <alignment horizontal="center"/>
    </xf>
    <xf numFmtId="0" fontId="3" fillId="0" borderId="1" xfId="1" applyFont="1" applyBorder="1" applyAlignment="1">
      <alignment horizontal="center" vertical="top" wrapText="1"/>
    </xf>
    <xf numFmtId="164" fontId="3" fillId="0" borderId="1" xfId="1" applyNumberFormat="1" applyFont="1" applyBorder="1" applyAlignment="1">
      <alignment horizontal="center" vertical="top" wrapText="1"/>
    </xf>
    <xf numFmtId="0" fontId="1" fillId="0" borderId="0" xfId="1" applyAlignment="1">
      <alignment wrapText="1"/>
    </xf>
    <xf numFmtId="165" fontId="3" fillId="0" borderId="1" xfId="1" applyNumberFormat="1" applyFont="1" applyBorder="1" applyAlignment="1">
      <alignment horizontal="center"/>
    </xf>
    <xf numFmtId="170" fontId="3" fillId="0" borderId="1" xfId="1" applyNumberFormat="1" applyFont="1" applyBorder="1" applyAlignment="1" applyProtection="1">
      <alignment horizontal="center"/>
      <protection locked="0"/>
    </xf>
    <xf numFmtId="168" fontId="3" fillId="0" borderId="1" xfId="1" applyNumberFormat="1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Continuous" vertical="center"/>
    </xf>
    <xf numFmtId="173" fontId="2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/>
    </xf>
    <xf numFmtId="170" fontId="3" fillId="4" borderId="1" xfId="1" applyNumberFormat="1" applyFont="1" applyFill="1" applyBorder="1" applyProtection="1">
      <protection locked="0"/>
    </xf>
    <xf numFmtId="0" fontId="3" fillId="3" borderId="1" xfId="0" applyFont="1" applyFill="1" applyBorder="1" applyAlignment="1">
      <alignment horizontal="centerContinuous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71" fontId="2" fillId="0" borderId="1" xfId="0" applyNumberFormat="1" applyFont="1" applyBorder="1" applyAlignment="1">
      <alignment horizontal="center" wrapText="1"/>
    </xf>
    <xf numFmtId="176" fontId="2" fillId="0" borderId="1" xfId="0" applyNumberFormat="1" applyFont="1" applyBorder="1" applyAlignment="1">
      <alignment horizontal="center" wrapText="1"/>
    </xf>
    <xf numFmtId="2" fontId="3" fillId="0" borderId="1" xfId="0" applyNumberFormat="1" applyFont="1" applyBorder="1" applyAlignment="1">
      <alignment horizontal="center" wrapText="1"/>
    </xf>
    <xf numFmtId="172" fontId="2" fillId="0" borderId="1" xfId="0" applyNumberFormat="1" applyFont="1" applyBorder="1" applyAlignment="1">
      <alignment horizontal="center" wrapText="1"/>
    </xf>
    <xf numFmtId="170" fontId="3" fillId="4" borderId="1" xfId="1" applyNumberFormat="1" applyFont="1" applyFill="1" applyBorder="1" applyAlignment="1" applyProtection="1">
      <alignment wrapText="1"/>
      <protection locked="0"/>
    </xf>
    <xf numFmtId="0" fontId="3" fillId="0" borderId="1" xfId="1" applyFont="1" applyBorder="1" applyAlignment="1">
      <alignment wrapText="1"/>
    </xf>
    <xf numFmtId="165" fontId="3" fillId="0" borderId="0" xfId="1" applyNumberFormat="1" applyFont="1" applyAlignment="1">
      <alignment horizontal="center" wrapText="1"/>
    </xf>
    <xf numFmtId="0" fontId="3" fillId="0" borderId="0" xfId="1" applyFont="1" applyAlignment="1">
      <alignment wrapText="1"/>
    </xf>
    <xf numFmtId="174" fontId="3" fillId="0" borderId="0" xfId="1" applyNumberFormat="1" applyFont="1" applyAlignment="1" applyProtection="1">
      <alignment horizontal="center" wrapText="1"/>
      <protection locked="0"/>
    </xf>
    <xf numFmtId="166" fontId="2" fillId="0" borderId="1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wrapText="1"/>
    </xf>
    <xf numFmtId="171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center" wrapText="1"/>
    </xf>
    <xf numFmtId="2" fontId="3" fillId="0" borderId="5" xfId="0" applyNumberFormat="1" applyFont="1" applyBorder="1" applyAlignment="1">
      <alignment horizontal="center" wrapText="1"/>
    </xf>
    <xf numFmtId="171" fontId="2" fillId="0" borderId="5" xfId="0" applyNumberFormat="1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75" fontId="2" fillId="0" borderId="1" xfId="0" applyNumberFormat="1" applyFont="1" applyBorder="1" applyAlignment="1">
      <alignment horizontal="center" wrapText="1"/>
    </xf>
    <xf numFmtId="0" fontId="4" fillId="0" borderId="1" xfId="0" applyFont="1" applyBorder="1" applyAlignment="1">
      <alignment wrapText="1"/>
    </xf>
    <xf numFmtId="166" fontId="2" fillId="0" borderId="1" xfId="0" applyNumberFormat="1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165" fontId="3" fillId="0" borderId="1" xfId="1" applyNumberFormat="1" applyFont="1" applyBorder="1" applyAlignment="1">
      <alignment horizontal="center" wrapText="1"/>
    </xf>
    <xf numFmtId="172" fontId="2" fillId="0" borderId="0" xfId="0" applyNumberFormat="1" applyFont="1" applyAlignment="1">
      <alignment horizontal="center" wrapText="1"/>
    </xf>
    <xf numFmtId="171" fontId="2" fillId="0" borderId="1" xfId="0" applyNumberFormat="1" applyFont="1" applyBorder="1" applyAlignment="1">
      <alignment horizontal="left" wrapText="1"/>
    </xf>
    <xf numFmtId="173" fontId="2" fillId="0" borderId="0" xfId="0" applyNumberFormat="1" applyFont="1" applyAlignment="1">
      <alignment horizontal="center" wrapText="1"/>
    </xf>
    <xf numFmtId="172" fontId="2" fillId="0" borderId="2" xfId="0" applyNumberFormat="1" applyFont="1" applyBorder="1" applyAlignment="1">
      <alignment horizontal="center" wrapText="1"/>
    </xf>
    <xf numFmtId="166" fontId="3" fillId="0" borderId="1" xfId="1" applyNumberFormat="1" applyFont="1" applyBorder="1" applyAlignment="1">
      <alignment horizontal="center" wrapText="1"/>
    </xf>
    <xf numFmtId="1" fontId="3" fillId="5" borderId="1" xfId="1" applyNumberFormat="1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4" borderId="1" xfId="0" applyFont="1" applyFill="1" applyBorder="1" applyAlignment="1">
      <alignment wrapText="1"/>
    </xf>
    <xf numFmtId="0" fontId="5" fillId="4" borderId="1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wrapText="1"/>
    </xf>
    <xf numFmtId="0" fontId="5" fillId="0" borderId="0" xfId="1" applyFont="1" applyAlignment="1">
      <alignment wrapText="1"/>
    </xf>
    <xf numFmtId="1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/>
    <xf numFmtId="167" fontId="3" fillId="0" borderId="0" xfId="1" applyNumberFormat="1" applyFont="1" applyAlignment="1" applyProtection="1">
      <alignment horizontal="center"/>
      <protection locked="0"/>
    </xf>
    <xf numFmtId="0" fontId="3" fillId="4" borderId="4" xfId="0" applyFont="1" applyFill="1" applyBorder="1" applyAlignment="1">
      <alignment horizontal="center" vertical="center" wrapText="1"/>
    </xf>
    <xf numFmtId="177" fontId="3" fillId="0" borderId="1" xfId="1" applyNumberFormat="1" applyFont="1" applyBorder="1" applyAlignment="1" applyProtection="1">
      <alignment horizontal="center"/>
      <protection locked="0"/>
    </xf>
    <xf numFmtId="178" fontId="3" fillId="0" borderId="1" xfId="1" applyNumberFormat="1" applyFont="1" applyBorder="1" applyAlignment="1" applyProtection="1">
      <alignment horizontal="center"/>
      <protection locked="0"/>
    </xf>
    <xf numFmtId="177" fontId="3" fillId="5" borderId="1" xfId="1" applyNumberFormat="1" applyFont="1" applyFill="1" applyBorder="1" applyAlignment="1" applyProtection="1">
      <alignment horizontal="center"/>
      <protection locked="0"/>
    </xf>
    <xf numFmtId="0" fontId="1" fillId="0" borderId="0" xfId="1" applyAlignment="1">
      <alignment horizontal="left" vertical="center" wrapText="1"/>
    </xf>
    <xf numFmtId="0" fontId="2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2" fontId="2" fillId="0" borderId="1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2" fontId="2" fillId="0" borderId="3" xfId="0" applyNumberFormat="1" applyFont="1" applyBorder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</cellXfs>
  <cellStyles count="3">
    <cellStyle name="Euro" xfId="2" xr:uid="{00000000-0005-0000-0000-000000000000}"/>
    <cellStyle name="Normal" xfId="0" builtinId="0"/>
    <cellStyle name="Normal 2" xfId="1" xr:uid="{00000000-0005-0000-0000-000002000000}"/>
  </cellStyles>
  <dxfs count="4"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380707</xdr:colOff>
      <xdr:row>1</xdr:row>
      <xdr:rowOff>23299</xdr:rowOff>
    </xdr:from>
    <xdr:to>
      <xdr:col>1</xdr:col>
      <xdr:colOff>1218173</xdr:colOff>
      <xdr:row>1</xdr:row>
      <xdr:rowOff>370611</xdr:rowOff>
    </xdr:to>
    <xdr:pic>
      <xdr:nvPicPr>
        <xdr:cNvPr id="2" name="1 Imagen" descr="logo escala de grises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946867" y="198559"/>
          <a:ext cx="837466" cy="3473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555967</xdr:colOff>
      <xdr:row>1</xdr:row>
      <xdr:rowOff>61399</xdr:rowOff>
    </xdr:from>
    <xdr:to>
      <xdr:col>3</xdr:col>
      <xdr:colOff>639053</xdr:colOff>
      <xdr:row>1</xdr:row>
      <xdr:rowOff>408711</xdr:rowOff>
    </xdr:to>
    <xdr:pic>
      <xdr:nvPicPr>
        <xdr:cNvPr id="2" name="1 Imagen" descr="logo escala de grises.png">
          <a:extLst>
            <a:ext uri="{FF2B5EF4-FFF2-40B4-BE49-F238E27FC236}">
              <a16:creationId xmlns:a16="http://schemas.microsoft.com/office/drawing/2014/main" id="{534E6286-8FA2-4F81-864D-C2A07DF0E6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77447" y="236659"/>
          <a:ext cx="837466" cy="34731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555967</xdr:colOff>
      <xdr:row>1</xdr:row>
      <xdr:rowOff>61399</xdr:rowOff>
    </xdr:from>
    <xdr:to>
      <xdr:col>3</xdr:col>
      <xdr:colOff>646673</xdr:colOff>
      <xdr:row>1</xdr:row>
      <xdr:rowOff>408711</xdr:rowOff>
    </xdr:to>
    <xdr:pic>
      <xdr:nvPicPr>
        <xdr:cNvPr id="2" name="1 Imagen" descr="logo escala de grises.png">
          <a:extLst>
            <a:ext uri="{FF2B5EF4-FFF2-40B4-BE49-F238E27FC236}">
              <a16:creationId xmlns:a16="http://schemas.microsoft.com/office/drawing/2014/main" id="{DD53BAB2-17EC-4E72-BE98-609C4385F0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777447" y="236659"/>
          <a:ext cx="837466" cy="3473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4"/>
  <sheetViews>
    <sheetView tabSelected="1" view="pageBreakPreview" zoomScaleNormal="130" zoomScaleSheetLayoutView="100" workbookViewId="0">
      <selection activeCell="D2" sqref="D2"/>
    </sheetView>
  </sheetViews>
  <sheetFormatPr baseColWidth="10" defaultColWidth="11.44140625" defaultRowHeight="13.8" x14ac:dyDescent="0.3"/>
  <cols>
    <col min="1" max="1" width="52" style="1" customWidth="1"/>
    <col min="2" max="2" width="22.88671875" style="20" customWidth="1"/>
    <col min="3" max="3" width="11.44140625" style="1"/>
    <col min="4" max="4" width="8.21875" style="1" customWidth="1"/>
    <col min="5" max="5" width="14.33203125" style="1" bestFit="1" customWidth="1"/>
    <col min="6" max="6" width="17.44140625" style="1" bestFit="1" customWidth="1"/>
    <col min="7" max="7" width="13.88671875" style="1" bestFit="1" customWidth="1"/>
    <col min="8" max="9" width="19.88671875" style="1" bestFit="1" customWidth="1"/>
    <col min="10" max="10" width="14" style="1" customWidth="1"/>
    <col min="11" max="11" width="8.5546875" style="1" customWidth="1"/>
    <col min="12" max="13" width="14.88671875" style="1" bestFit="1" customWidth="1"/>
    <col min="14" max="14" width="14.5546875" style="1" bestFit="1" customWidth="1"/>
    <col min="15" max="16384" width="11.44140625" style="1"/>
  </cols>
  <sheetData>
    <row r="1" spans="1:12" ht="13.8" customHeight="1" x14ac:dyDescent="0.3">
      <c r="A1" s="33" t="s">
        <v>21</v>
      </c>
      <c r="B1" s="77" t="s">
        <v>54</v>
      </c>
      <c r="D1" s="83" t="s">
        <v>46</v>
      </c>
      <c r="E1" s="84"/>
      <c r="F1" s="30" t="s">
        <v>23</v>
      </c>
      <c r="G1" s="30"/>
      <c r="H1" s="21" t="s">
        <v>25</v>
      </c>
      <c r="I1" s="22" t="s">
        <v>33</v>
      </c>
      <c r="K1" s="82" t="s">
        <v>45</v>
      </c>
      <c r="L1" s="82"/>
    </row>
    <row r="2" spans="1:12" ht="30" customHeight="1" x14ac:dyDescent="0.3">
      <c r="A2" s="10" t="s">
        <v>67</v>
      </c>
      <c r="B2" s="10"/>
      <c r="C2" s="3"/>
      <c r="D2" s="11" t="s">
        <v>24</v>
      </c>
      <c r="E2" s="11" t="s">
        <v>80</v>
      </c>
      <c r="F2" s="11" t="s">
        <v>81</v>
      </c>
      <c r="G2" s="11" t="s">
        <v>82</v>
      </c>
      <c r="H2" s="11"/>
      <c r="I2" s="11"/>
      <c r="K2" s="6" t="s">
        <v>42</v>
      </c>
      <c r="L2" s="15" t="s">
        <v>41</v>
      </c>
    </row>
    <row r="3" spans="1:12" x14ac:dyDescent="0.3">
      <c r="D3" s="9">
        <v>15</v>
      </c>
      <c r="E3" s="35">
        <v>2.5</v>
      </c>
      <c r="F3" s="7">
        <v>0</v>
      </c>
      <c r="G3" s="7">
        <f t="shared" ref="G3:G10" si="0">E3*0.8</f>
        <v>2</v>
      </c>
      <c r="H3" s="9" t="str">
        <f t="shared" ref="H3:H10" si="1">IF(AND($B$12&gt;F3,$B$12&lt;G3),D3,"")</f>
        <v/>
      </c>
      <c r="I3" s="12" t="str">
        <f t="shared" ref="I3:I10" si="2">IF(H3="","",($B$12/3600)/((D3/2000)^2*PI()))</f>
        <v/>
      </c>
      <c r="K3" s="6">
        <v>1</v>
      </c>
      <c r="L3" s="36">
        <v>10.07</v>
      </c>
    </row>
    <row r="4" spans="1:12" ht="13.8" customHeight="1" x14ac:dyDescent="0.3">
      <c r="A4" s="71" t="s">
        <v>72</v>
      </c>
      <c r="D4" s="9">
        <v>20</v>
      </c>
      <c r="E4" s="35">
        <v>4</v>
      </c>
      <c r="F4" s="7">
        <f t="shared" ref="F4:F10" si="3">E4*0.1</f>
        <v>0.4</v>
      </c>
      <c r="G4" s="7">
        <f t="shared" si="0"/>
        <v>3.2</v>
      </c>
      <c r="H4" s="9" t="str">
        <f t="shared" si="1"/>
        <v/>
      </c>
      <c r="I4" s="12" t="str">
        <f t="shared" si="2"/>
        <v/>
      </c>
      <c r="K4" s="6">
        <v>2</v>
      </c>
      <c r="L4" s="36">
        <v>11.02</v>
      </c>
    </row>
    <row r="5" spans="1:12" x14ac:dyDescent="0.3">
      <c r="A5" s="4" t="s">
        <v>43</v>
      </c>
      <c r="B5" s="66">
        <v>1</v>
      </c>
      <c r="D5" s="9">
        <v>25</v>
      </c>
      <c r="E5" s="35">
        <v>6.3</v>
      </c>
      <c r="F5" s="7">
        <f t="shared" si="3"/>
        <v>0.63</v>
      </c>
      <c r="G5" s="7">
        <f t="shared" si="0"/>
        <v>5.04</v>
      </c>
      <c r="H5" s="9" t="str">
        <f t="shared" si="1"/>
        <v/>
      </c>
      <c r="I5" s="12" t="str">
        <f t="shared" si="2"/>
        <v/>
      </c>
      <c r="K5" s="6">
        <v>3</v>
      </c>
      <c r="L5" s="36">
        <v>10.71</v>
      </c>
    </row>
    <row r="6" spans="1:12" x14ac:dyDescent="0.3">
      <c r="A6" s="4" t="s">
        <v>30</v>
      </c>
      <c r="B6" s="66">
        <v>0</v>
      </c>
      <c r="D6" s="9">
        <v>40</v>
      </c>
      <c r="E6" s="35">
        <v>16</v>
      </c>
      <c r="F6" s="7">
        <f t="shared" si="3"/>
        <v>1.6</v>
      </c>
      <c r="G6" s="7">
        <f t="shared" si="0"/>
        <v>12.8</v>
      </c>
      <c r="H6" s="9" t="str">
        <f t="shared" si="1"/>
        <v/>
      </c>
      <c r="I6" s="12" t="str">
        <f t="shared" si="2"/>
        <v/>
      </c>
      <c r="K6" s="6">
        <v>4</v>
      </c>
      <c r="L6" s="36">
        <v>10.67</v>
      </c>
    </row>
    <row r="7" spans="1:12" x14ac:dyDescent="0.3">
      <c r="A7" s="4" t="s">
        <v>41</v>
      </c>
      <c r="B7" s="28">
        <f>VLOOKUP(B5,$K$3:$L$8,2,0)</f>
        <v>10.07</v>
      </c>
      <c r="D7" s="9">
        <v>50</v>
      </c>
      <c r="E7" s="35">
        <v>25</v>
      </c>
      <c r="F7" s="7">
        <f t="shared" si="3"/>
        <v>2.5</v>
      </c>
      <c r="G7" s="7">
        <f t="shared" si="0"/>
        <v>20</v>
      </c>
      <c r="H7" s="9" t="str">
        <f t="shared" si="1"/>
        <v/>
      </c>
      <c r="I7" s="12" t="str">
        <f t="shared" si="2"/>
        <v/>
      </c>
      <c r="K7" s="6">
        <v>5</v>
      </c>
      <c r="L7" s="36">
        <v>11.17</v>
      </c>
    </row>
    <row r="8" spans="1:12" x14ac:dyDescent="0.3">
      <c r="A8" s="50" t="s">
        <v>78</v>
      </c>
      <c r="B8" s="78">
        <f>B6*B7</f>
        <v>0</v>
      </c>
      <c r="D8" s="9">
        <v>80</v>
      </c>
      <c r="E8" s="35">
        <v>63</v>
      </c>
      <c r="F8" s="7">
        <f t="shared" si="3"/>
        <v>6.3000000000000007</v>
      </c>
      <c r="G8" s="7">
        <f t="shared" si="0"/>
        <v>50.400000000000006</v>
      </c>
      <c r="H8" s="9" t="str">
        <f t="shared" si="1"/>
        <v/>
      </c>
      <c r="I8" s="12" t="str">
        <f t="shared" si="2"/>
        <v/>
      </c>
      <c r="K8" s="6">
        <v>6</v>
      </c>
      <c r="L8" s="36">
        <v>13.78</v>
      </c>
    </row>
    <row r="9" spans="1:12" x14ac:dyDescent="0.3">
      <c r="A9" s="55" t="s">
        <v>79</v>
      </c>
      <c r="B9" s="80">
        <v>0</v>
      </c>
      <c r="D9" s="9">
        <v>100</v>
      </c>
      <c r="E9" s="35">
        <v>100</v>
      </c>
      <c r="F9" s="7">
        <f t="shared" si="3"/>
        <v>10</v>
      </c>
      <c r="G9" s="7">
        <f t="shared" si="0"/>
        <v>80</v>
      </c>
      <c r="H9" s="9" t="str">
        <f t="shared" si="1"/>
        <v/>
      </c>
      <c r="I9" s="12" t="str">
        <f t="shared" si="2"/>
        <v/>
      </c>
    </row>
    <row r="10" spans="1:12" x14ac:dyDescent="0.3">
      <c r="A10" s="4" t="s">
        <v>74</v>
      </c>
      <c r="B10" s="79">
        <f>(B8+B9)/30</f>
        <v>0</v>
      </c>
      <c r="D10" s="9">
        <v>150</v>
      </c>
      <c r="E10" s="35">
        <v>160</v>
      </c>
      <c r="F10" s="7">
        <f t="shared" si="3"/>
        <v>16</v>
      </c>
      <c r="G10" s="7">
        <f t="shared" si="0"/>
        <v>128</v>
      </c>
      <c r="H10" s="9" t="str">
        <f t="shared" si="1"/>
        <v/>
      </c>
      <c r="I10" s="12" t="str">
        <f t="shared" si="2"/>
        <v/>
      </c>
    </row>
    <row r="11" spans="1:12" x14ac:dyDescent="0.3">
      <c r="A11" s="4" t="s">
        <v>31</v>
      </c>
      <c r="B11" s="29">
        <v>10</v>
      </c>
      <c r="D11" s="18"/>
      <c r="E11" s="19"/>
      <c r="F11" s="20"/>
      <c r="G11" s="17"/>
      <c r="H11" s="17"/>
      <c r="I11" s="16"/>
    </row>
    <row r="12" spans="1:12" ht="13.8" customHeight="1" x14ac:dyDescent="0.3">
      <c r="A12" s="4" t="s">
        <v>77</v>
      </c>
      <c r="B12" s="27">
        <f>B10/B11</f>
        <v>0</v>
      </c>
      <c r="D12" s="83" t="s">
        <v>53</v>
      </c>
      <c r="E12" s="84"/>
      <c r="F12" s="30" t="s">
        <v>23</v>
      </c>
      <c r="G12" s="30"/>
      <c r="H12" s="21" t="s">
        <v>25</v>
      </c>
      <c r="I12" s="22" t="s">
        <v>33</v>
      </c>
    </row>
    <row r="13" spans="1:12" ht="13.8" customHeight="1" x14ac:dyDescent="0.3">
      <c r="A13" s="75"/>
      <c r="B13" s="76"/>
      <c r="D13" s="11" t="s">
        <v>24</v>
      </c>
      <c r="E13" s="11" t="s">
        <v>80</v>
      </c>
      <c r="F13" s="11" t="s">
        <v>81</v>
      </c>
      <c r="G13" s="11" t="s">
        <v>82</v>
      </c>
      <c r="H13" s="11"/>
      <c r="I13" s="11"/>
    </row>
    <row r="14" spans="1:12" x14ac:dyDescent="0.3">
      <c r="A14" s="71" t="s">
        <v>75</v>
      </c>
      <c r="B14" s="5"/>
      <c r="D14" s="9">
        <v>25</v>
      </c>
      <c r="E14" s="6">
        <v>6.3</v>
      </c>
      <c r="F14" s="7">
        <v>0</v>
      </c>
      <c r="G14" s="7">
        <f t="shared" ref="G14:G19" si="4">E14*0.9</f>
        <v>5.67</v>
      </c>
      <c r="H14" s="9" t="str">
        <f t="shared" ref="H14:H19" si="5">IF(AND($B$12&gt;F14,$B$12&lt;G14),D14,"")</f>
        <v/>
      </c>
      <c r="I14" s="12" t="str">
        <f t="shared" ref="I14:I19" si="6">IF(H14="","",($B$12/3600)/((D14/2000)^2*PI()))</f>
        <v/>
      </c>
    </row>
    <row r="15" spans="1:12" x14ac:dyDescent="0.3">
      <c r="A15" s="6" t="s">
        <v>70</v>
      </c>
      <c r="B15" s="9" t="s">
        <v>33</v>
      </c>
      <c r="D15" s="9">
        <v>40</v>
      </c>
      <c r="E15" s="6">
        <v>10</v>
      </c>
      <c r="F15" s="7">
        <f>E15*0.05</f>
        <v>0.5</v>
      </c>
      <c r="G15" s="7">
        <f t="shared" si="4"/>
        <v>9</v>
      </c>
      <c r="H15" s="9" t="str">
        <f t="shared" si="5"/>
        <v/>
      </c>
      <c r="I15" s="12" t="str">
        <f t="shared" si="6"/>
        <v/>
      </c>
    </row>
    <row r="16" spans="1:12" x14ac:dyDescent="0.3">
      <c r="A16" s="9" t="str">
        <f t="shared" ref="A16:A23" si="7">H3</f>
        <v/>
      </c>
      <c r="B16" s="12" t="str">
        <f t="shared" ref="B16:B23" si="8">+I3</f>
        <v/>
      </c>
      <c r="D16" s="9">
        <v>50</v>
      </c>
      <c r="E16" s="6">
        <v>25</v>
      </c>
      <c r="F16" s="7">
        <f>E16*0.05</f>
        <v>1.25</v>
      </c>
      <c r="G16" s="7">
        <f t="shared" si="4"/>
        <v>22.5</v>
      </c>
      <c r="H16" s="9" t="str">
        <f t="shared" si="5"/>
        <v/>
      </c>
      <c r="I16" s="12" t="str">
        <f t="shared" si="6"/>
        <v/>
      </c>
    </row>
    <row r="17" spans="1:10" x14ac:dyDescent="0.3">
      <c r="A17" s="9" t="str">
        <f t="shared" si="7"/>
        <v/>
      </c>
      <c r="B17" s="12" t="str">
        <f t="shared" si="8"/>
        <v/>
      </c>
      <c r="D17" s="9">
        <v>80</v>
      </c>
      <c r="E17" s="6">
        <v>63</v>
      </c>
      <c r="F17" s="7">
        <f>E17*0.05</f>
        <v>3.1500000000000004</v>
      </c>
      <c r="G17" s="7">
        <f t="shared" si="4"/>
        <v>56.7</v>
      </c>
      <c r="H17" s="9" t="str">
        <f t="shared" si="5"/>
        <v/>
      </c>
      <c r="I17" s="12" t="str">
        <f t="shared" si="6"/>
        <v/>
      </c>
    </row>
    <row r="18" spans="1:10" x14ac:dyDescent="0.3">
      <c r="A18" s="9" t="str">
        <f t="shared" si="7"/>
        <v/>
      </c>
      <c r="B18" s="12" t="str">
        <f t="shared" si="8"/>
        <v/>
      </c>
      <c r="D18" s="9">
        <v>100</v>
      </c>
      <c r="E18" s="6">
        <v>100</v>
      </c>
      <c r="F18" s="7">
        <f>E18*0.05</f>
        <v>5</v>
      </c>
      <c r="G18" s="7">
        <f t="shared" si="4"/>
        <v>90</v>
      </c>
      <c r="H18" s="9" t="str">
        <f t="shared" si="5"/>
        <v/>
      </c>
      <c r="I18" s="12" t="str">
        <f t="shared" si="6"/>
        <v/>
      </c>
    </row>
    <row r="19" spans="1:10" x14ac:dyDescent="0.3">
      <c r="A19" s="9" t="str">
        <f t="shared" si="7"/>
        <v/>
      </c>
      <c r="B19" s="12" t="str">
        <f t="shared" si="8"/>
        <v/>
      </c>
      <c r="D19" s="9">
        <v>150</v>
      </c>
      <c r="E19" s="6">
        <v>250</v>
      </c>
      <c r="F19" s="7">
        <f>E19*0.05</f>
        <v>12.5</v>
      </c>
      <c r="G19" s="7">
        <f t="shared" si="4"/>
        <v>225</v>
      </c>
      <c r="H19" s="9" t="str">
        <f t="shared" si="5"/>
        <v/>
      </c>
      <c r="I19" s="12" t="str">
        <f t="shared" si="6"/>
        <v/>
      </c>
    </row>
    <row r="20" spans="1:10" x14ac:dyDescent="0.3">
      <c r="A20" s="9" t="str">
        <f t="shared" si="7"/>
        <v/>
      </c>
      <c r="B20" s="12" t="str">
        <f t="shared" si="8"/>
        <v/>
      </c>
    </row>
    <row r="21" spans="1:10" x14ac:dyDescent="0.3">
      <c r="A21" s="9" t="str">
        <f t="shared" si="7"/>
        <v/>
      </c>
      <c r="B21" s="12" t="str">
        <f t="shared" si="8"/>
        <v/>
      </c>
      <c r="D21" s="82" t="s">
        <v>27</v>
      </c>
      <c r="E21" s="82"/>
      <c r="F21" s="82"/>
      <c r="G21" s="82"/>
      <c r="H21" s="82"/>
      <c r="I21" s="82"/>
      <c r="J21" s="82"/>
    </row>
    <row r="22" spans="1:10" x14ac:dyDescent="0.3">
      <c r="A22" s="9" t="str">
        <f t="shared" si="7"/>
        <v/>
      </c>
      <c r="B22" s="12" t="str">
        <f t="shared" si="8"/>
        <v/>
      </c>
      <c r="D22" s="11" t="s">
        <v>24</v>
      </c>
      <c r="E22" s="11" t="s">
        <v>26</v>
      </c>
      <c r="F22" s="11" t="s">
        <v>28</v>
      </c>
      <c r="G22" s="11" t="s">
        <v>29</v>
      </c>
      <c r="H22" s="11" t="s">
        <v>27</v>
      </c>
      <c r="I22" s="11" t="s">
        <v>33</v>
      </c>
      <c r="J22" s="11"/>
    </row>
    <row r="23" spans="1:10" x14ac:dyDescent="0.3">
      <c r="A23" s="9" t="str">
        <f t="shared" si="7"/>
        <v/>
      </c>
      <c r="B23" s="12" t="str">
        <f t="shared" si="8"/>
        <v/>
      </c>
      <c r="D23" s="9">
        <v>20</v>
      </c>
      <c r="E23" s="23">
        <f>+D23-2.3*2</f>
        <v>15.4</v>
      </c>
      <c r="F23" s="24">
        <v>2</v>
      </c>
      <c r="G23" s="25">
        <f>PI()*(E23/2/1000)^2*F23*1000</f>
        <v>0.37253005686267771</v>
      </c>
      <c r="H23" s="9">
        <f t="shared" ref="H23:H31" si="9">IF($B$12*1000/60/60&lt;=G23,D23,"")</f>
        <v>20</v>
      </c>
      <c r="I23" s="12">
        <f t="shared" ref="I23:I31" si="10">IF(H23="","",($B$12/3600)/((E23/2000)^2*PI()))</f>
        <v>0</v>
      </c>
      <c r="J23" s="25" t="s">
        <v>51</v>
      </c>
    </row>
    <row r="24" spans="1:10" x14ac:dyDescent="0.3">
      <c r="D24" s="9">
        <v>32</v>
      </c>
      <c r="E24" s="23">
        <v>26</v>
      </c>
      <c r="F24" s="24">
        <v>2</v>
      </c>
      <c r="G24" s="25">
        <f t="shared" ref="G24:G30" si="11">PI()*(E24/2/1000)^2*F24*1000</f>
        <v>1.06185831691335</v>
      </c>
      <c r="H24" s="9">
        <f t="shared" si="9"/>
        <v>32</v>
      </c>
      <c r="I24" s="12">
        <f t="shared" si="10"/>
        <v>0</v>
      </c>
      <c r="J24" s="25" t="s">
        <v>52</v>
      </c>
    </row>
    <row r="25" spans="1:10" x14ac:dyDescent="0.3">
      <c r="A25" s="71" t="s">
        <v>76</v>
      </c>
      <c r="B25" s="5"/>
      <c r="D25" s="9">
        <v>40</v>
      </c>
      <c r="E25" s="23">
        <v>32.6</v>
      </c>
      <c r="F25" s="24">
        <v>2</v>
      </c>
      <c r="G25" s="25">
        <f t="shared" si="11"/>
        <v>1.6693795042645447</v>
      </c>
      <c r="H25" s="9">
        <f t="shared" si="9"/>
        <v>40</v>
      </c>
      <c r="I25" s="12">
        <f t="shared" si="10"/>
        <v>0</v>
      </c>
      <c r="J25" s="25" t="s">
        <v>52</v>
      </c>
    </row>
    <row r="26" spans="1:10" x14ac:dyDescent="0.3">
      <c r="A26" s="6" t="s">
        <v>70</v>
      </c>
      <c r="B26" s="9" t="s">
        <v>33</v>
      </c>
      <c r="D26" s="9">
        <v>63</v>
      </c>
      <c r="E26" s="23">
        <v>51.4</v>
      </c>
      <c r="F26" s="24">
        <v>2</v>
      </c>
      <c r="G26" s="25">
        <f t="shared" si="11"/>
        <v>4.1499810635390455</v>
      </c>
      <c r="H26" s="9">
        <f t="shared" si="9"/>
        <v>63</v>
      </c>
      <c r="I26" s="12">
        <f t="shared" si="10"/>
        <v>0</v>
      </c>
      <c r="J26" s="25" t="s">
        <v>52</v>
      </c>
    </row>
    <row r="27" spans="1:10" x14ac:dyDescent="0.3">
      <c r="A27" s="9" t="str">
        <f t="shared" ref="A27:B32" si="12">+H14</f>
        <v/>
      </c>
      <c r="B27" s="12" t="str">
        <f t="shared" si="12"/>
        <v/>
      </c>
      <c r="D27" s="9">
        <v>90</v>
      </c>
      <c r="E27" s="23">
        <v>73.599999999999994</v>
      </c>
      <c r="F27" s="24">
        <v>2.5</v>
      </c>
      <c r="G27" s="25">
        <f t="shared" si="11"/>
        <v>10.636176087993602</v>
      </c>
      <c r="H27" s="9">
        <f t="shared" si="9"/>
        <v>90</v>
      </c>
      <c r="I27" s="12">
        <f t="shared" si="10"/>
        <v>0</v>
      </c>
      <c r="J27" s="25" t="s">
        <v>52</v>
      </c>
    </row>
    <row r="28" spans="1:10" x14ac:dyDescent="0.3">
      <c r="A28" s="9" t="str">
        <f t="shared" si="12"/>
        <v/>
      </c>
      <c r="B28" s="12" t="str">
        <f t="shared" si="12"/>
        <v/>
      </c>
      <c r="D28" s="9">
        <v>125</v>
      </c>
      <c r="E28" s="23">
        <v>102.3</v>
      </c>
      <c r="F28" s="24">
        <v>2.5</v>
      </c>
      <c r="G28" s="25">
        <f t="shared" si="11"/>
        <v>20.548548863554206</v>
      </c>
      <c r="H28" s="9">
        <f t="shared" si="9"/>
        <v>125</v>
      </c>
      <c r="I28" s="12">
        <f t="shared" si="10"/>
        <v>0</v>
      </c>
      <c r="J28" s="25" t="s">
        <v>52</v>
      </c>
    </row>
    <row r="29" spans="1:10" x14ac:dyDescent="0.3">
      <c r="A29" s="9" t="str">
        <f t="shared" si="12"/>
        <v/>
      </c>
      <c r="B29" s="12" t="str">
        <f t="shared" si="12"/>
        <v/>
      </c>
      <c r="D29" s="9">
        <v>180</v>
      </c>
      <c r="E29" s="23">
        <v>147.30000000000001</v>
      </c>
      <c r="F29" s="24">
        <v>2.5</v>
      </c>
      <c r="G29" s="25">
        <f t="shared" si="11"/>
        <v>42.602529291754564</v>
      </c>
      <c r="H29" s="9">
        <f t="shared" si="9"/>
        <v>180</v>
      </c>
      <c r="I29" s="12">
        <f t="shared" si="10"/>
        <v>0</v>
      </c>
      <c r="J29" s="25" t="s">
        <v>52</v>
      </c>
    </row>
    <row r="30" spans="1:10" x14ac:dyDescent="0.3">
      <c r="A30" s="9" t="str">
        <f t="shared" si="12"/>
        <v/>
      </c>
      <c r="B30" s="12" t="str">
        <f t="shared" si="12"/>
        <v/>
      </c>
      <c r="D30" s="9">
        <v>250</v>
      </c>
      <c r="E30" s="23">
        <v>204.5</v>
      </c>
      <c r="F30" s="24">
        <v>2.5</v>
      </c>
      <c r="G30" s="25">
        <f t="shared" si="11"/>
        <v>82.113868857055323</v>
      </c>
      <c r="H30" s="9">
        <f t="shared" si="9"/>
        <v>250</v>
      </c>
      <c r="I30" s="12">
        <f t="shared" si="10"/>
        <v>0</v>
      </c>
      <c r="J30" s="25" t="s">
        <v>52</v>
      </c>
    </row>
    <row r="31" spans="1:10" x14ac:dyDescent="0.3">
      <c r="A31" s="9" t="str">
        <f t="shared" si="12"/>
        <v/>
      </c>
      <c r="B31" s="12" t="str">
        <f t="shared" si="12"/>
        <v/>
      </c>
      <c r="D31" s="9">
        <v>315</v>
      </c>
      <c r="E31" s="23">
        <v>257.7</v>
      </c>
      <c r="F31" s="24">
        <v>2.5</v>
      </c>
      <c r="G31" s="25">
        <f t="shared" ref="G31" si="13">PI()*(E31/2/1000)^2*F31*1000</f>
        <v>130.39433599632133</v>
      </c>
      <c r="H31" s="9">
        <f t="shared" si="9"/>
        <v>315</v>
      </c>
      <c r="I31" s="12">
        <f t="shared" si="10"/>
        <v>0</v>
      </c>
      <c r="J31" s="25" t="s">
        <v>52</v>
      </c>
    </row>
    <row r="32" spans="1:10" x14ac:dyDescent="0.3">
      <c r="A32" s="9" t="str">
        <f t="shared" si="12"/>
        <v/>
      </c>
      <c r="B32" s="12" t="str">
        <f t="shared" si="12"/>
        <v/>
      </c>
    </row>
    <row r="33" spans="1:10" x14ac:dyDescent="0.3">
      <c r="B33" s="31"/>
      <c r="D33" s="8" t="s">
        <v>44</v>
      </c>
    </row>
    <row r="34" spans="1:10" x14ac:dyDescent="0.3">
      <c r="A34" s="71" t="s">
        <v>58</v>
      </c>
      <c r="B34" s="5"/>
      <c r="D34" s="8" t="s">
        <v>40</v>
      </c>
    </row>
    <row r="35" spans="1:10" x14ac:dyDescent="0.3">
      <c r="A35" s="15" t="s">
        <v>56</v>
      </c>
      <c r="B35" s="32" t="s">
        <v>57</v>
      </c>
      <c r="D35" s="81" t="s">
        <v>50</v>
      </c>
      <c r="E35" s="81"/>
      <c r="F35" s="81"/>
      <c r="G35" s="81"/>
      <c r="H35" s="81"/>
      <c r="I35" s="81"/>
      <c r="J35" s="81"/>
    </row>
    <row r="36" spans="1:10" x14ac:dyDescent="0.3">
      <c r="A36" s="9">
        <f>+H23</f>
        <v>20</v>
      </c>
      <c r="B36" s="12">
        <f>+I23</f>
        <v>0</v>
      </c>
    </row>
    <row r="37" spans="1:10" x14ac:dyDescent="0.3">
      <c r="A37" s="9">
        <f t="shared" ref="A37:A44" si="14">+H24</f>
        <v>32</v>
      </c>
      <c r="B37" s="12">
        <f t="shared" ref="B37:B44" si="15">+I24</f>
        <v>0</v>
      </c>
    </row>
    <row r="38" spans="1:10" x14ac:dyDescent="0.3">
      <c r="A38" s="9">
        <f t="shared" si="14"/>
        <v>40</v>
      </c>
      <c r="B38" s="12">
        <f t="shared" si="15"/>
        <v>0</v>
      </c>
    </row>
    <row r="39" spans="1:10" x14ac:dyDescent="0.3">
      <c r="A39" s="9">
        <f t="shared" si="14"/>
        <v>63</v>
      </c>
      <c r="B39" s="12">
        <f t="shared" si="15"/>
        <v>0</v>
      </c>
    </row>
    <row r="40" spans="1:10" x14ac:dyDescent="0.3">
      <c r="A40" s="9">
        <f t="shared" si="14"/>
        <v>90</v>
      </c>
      <c r="B40" s="12">
        <f t="shared" si="15"/>
        <v>0</v>
      </c>
    </row>
    <row r="41" spans="1:10" x14ac:dyDescent="0.3">
      <c r="A41" s="9">
        <f t="shared" si="14"/>
        <v>125</v>
      </c>
      <c r="B41" s="12">
        <f t="shared" si="15"/>
        <v>0</v>
      </c>
    </row>
    <row r="42" spans="1:10" x14ac:dyDescent="0.3">
      <c r="A42" s="9">
        <f t="shared" si="14"/>
        <v>180</v>
      </c>
      <c r="B42" s="12">
        <f t="shared" si="15"/>
        <v>0</v>
      </c>
    </row>
    <row r="43" spans="1:10" x14ac:dyDescent="0.3">
      <c r="A43" s="9">
        <f t="shared" si="14"/>
        <v>250</v>
      </c>
      <c r="B43" s="12">
        <f t="shared" si="15"/>
        <v>0</v>
      </c>
    </row>
    <row r="44" spans="1:10" x14ac:dyDescent="0.3">
      <c r="A44" s="9">
        <f t="shared" si="14"/>
        <v>315</v>
      </c>
      <c r="B44" s="12">
        <f t="shared" si="15"/>
        <v>0</v>
      </c>
    </row>
  </sheetData>
  <mergeCells count="5">
    <mergeCell ref="D35:J35"/>
    <mergeCell ref="K1:L1"/>
    <mergeCell ref="D21:J21"/>
    <mergeCell ref="D1:E1"/>
    <mergeCell ref="D12:E12"/>
  </mergeCells>
  <conditionalFormatting sqref="A5:A7">
    <cfRule type="expression" dxfId="3" priority="1">
      <formula>#REF!=""</formula>
    </cfRule>
  </conditionalFormatting>
  <conditionalFormatting sqref="B5:B6">
    <cfRule type="expression" dxfId="2" priority="2">
      <formula>#REF!=""</formula>
    </cfRule>
  </conditionalFormatting>
  <dataValidations count="1">
    <dataValidation type="list" allowBlank="1" showInputMessage="1" showErrorMessage="1" sqref="B5" xr:uid="{00000000-0002-0000-0000-000000000000}">
      <formula1>"1,2,3,4,5,6"</formula1>
    </dataValidation>
  </dataValidations>
  <printOptions horizontalCentered="1"/>
  <pageMargins left="1.1811023622047201" right="1.1811023622047201" top="1.1811023622047201" bottom="1.1811023622047201" header="0.31496062992126" footer="0.31496062992126"/>
  <pageSetup scale="88" orientation="portrait" r:id="rId1"/>
  <ignoredErrors>
    <ignoredError sqref="B7:B8 B10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1B6E7-A619-411C-BD00-A2A3684E1EDB}">
  <dimension ref="A1:N70"/>
  <sheetViews>
    <sheetView view="pageBreakPreview" zoomScaleNormal="130" zoomScaleSheetLayoutView="100" workbookViewId="0">
      <selection activeCell="H24" sqref="H24"/>
    </sheetView>
  </sheetViews>
  <sheetFormatPr baseColWidth="10" defaultColWidth="11.44140625" defaultRowHeight="13.8" x14ac:dyDescent="0.3"/>
  <cols>
    <col min="1" max="1" width="40.109375" style="2" customWidth="1"/>
    <col min="2" max="2" width="21.44140625" style="10" bestFit="1" customWidth="1"/>
    <col min="3" max="3" width="11" style="10" bestFit="1" customWidth="1"/>
    <col min="4" max="4" width="10.33203125" style="10" bestFit="1" customWidth="1"/>
    <col min="5" max="5" width="11.44140625" style="2"/>
    <col min="6" max="6" width="8.21875" style="2" customWidth="1"/>
    <col min="7" max="7" width="14.33203125" style="2" bestFit="1" customWidth="1"/>
    <col min="8" max="8" width="17.44140625" style="2" bestFit="1" customWidth="1"/>
    <col min="9" max="9" width="13.88671875" style="2" bestFit="1" customWidth="1"/>
    <col min="10" max="11" width="19.88671875" style="2" bestFit="1" customWidth="1"/>
    <col min="12" max="12" width="14" style="2" customWidth="1"/>
    <col min="13" max="13" width="10.21875" style="2" bestFit="1" customWidth="1"/>
    <col min="14" max="14" width="14.88671875" style="2" bestFit="1" customWidth="1"/>
    <col min="15" max="15" width="16.77734375" style="2" customWidth="1"/>
    <col min="16" max="16" width="5.21875" style="2" bestFit="1" customWidth="1"/>
    <col min="17" max="17" width="14.5546875" style="2" bestFit="1" customWidth="1"/>
    <col min="18" max="16384" width="11.44140625" style="2"/>
  </cols>
  <sheetData>
    <row r="1" spans="1:14" ht="13.8" customHeight="1" x14ac:dyDescent="0.3">
      <c r="A1" s="87" t="s">
        <v>21</v>
      </c>
      <c r="B1" s="87"/>
      <c r="C1" s="33"/>
      <c r="D1" s="77" t="s">
        <v>54</v>
      </c>
      <c r="F1" s="83" t="s">
        <v>46</v>
      </c>
      <c r="G1" s="84"/>
      <c r="H1" s="37" t="s">
        <v>23</v>
      </c>
      <c r="I1" s="37"/>
      <c r="J1" s="21" t="s">
        <v>25</v>
      </c>
      <c r="K1" s="22" t="s">
        <v>33</v>
      </c>
      <c r="M1" s="85" t="s">
        <v>45</v>
      </c>
      <c r="N1" s="85"/>
    </row>
    <row r="2" spans="1:14" ht="41.4" customHeight="1" x14ac:dyDescent="0.3">
      <c r="A2" s="86" t="s">
        <v>68</v>
      </c>
      <c r="B2" s="86"/>
      <c r="E2" s="3"/>
      <c r="F2" s="11" t="s">
        <v>24</v>
      </c>
      <c r="G2" s="11" t="s">
        <v>80</v>
      </c>
      <c r="H2" s="11" t="s">
        <v>81</v>
      </c>
      <c r="I2" s="11" t="s">
        <v>82</v>
      </c>
      <c r="J2" s="11"/>
      <c r="K2" s="11"/>
      <c r="M2" s="38" t="s">
        <v>42</v>
      </c>
      <c r="N2" s="39" t="s">
        <v>41</v>
      </c>
    </row>
    <row r="3" spans="1:14" x14ac:dyDescent="0.3">
      <c r="A3" s="47"/>
      <c r="B3" s="48"/>
      <c r="C3" s="48"/>
      <c r="D3" s="2"/>
      <c r="F3" s="40">
        <v>15</v>
      </c>
      <c r="G3" s="41">
        <v>2.5</v>
      </c>
      <c r="H3" s="42">
        <v>0</v>
      </c>
      <c r="I3" s="42">
        <f t="shared" ref="I3:I10" si="0">G3*0.8</f>
        <v>2</v>
      </c>
      <c r="J3" s="40">
        <f t="shared" ref="J3:J10" si="1">IF(AND($B$38&gt;H3,$B$38&lt;I3),F3,"")</f>
        <v>15</v>
      </c>
      <c r="K3" s="43">
        <f t="shared" ref="K3:K10" si="2">IF(J3="","",($B$38/3600)/((F3/2000)^2*PI()))</f>
        <v>0.56588424210451693</v>
      </c>
      <c r="M3" s="38">
        <v>1</v>
      </c>
      <c r="N3" s="44">
        <v>10.07</v>
      </c>
    </row>
    <row r="4" spans="1:14" ht="13.8" customHeight="1" x14ac:dyDescent="0.3">
      <c r="A4" s="71" t="s">
        <v>59</v>
      </c>
      <c r="B4" s="2"/>
      <c r="C4" s="2"/>
      <c r="D4" s="2"/>
      <c r="F4" s="40">
        <v>20</v>
      </c>
      <c r="G4" s="41">
        <v>4</v>
      </c>
      <c r="H4" s="42">
        <f t="shared" ref="H4:H10" si="3">G4*0.1</f>
        <v>0.4</v>
      </c>
      <c r="I4" s="42">
        <f t="shared" si="0"/>
        <v>3.2</v>
      </c>
      <c r="J4" s="40" t="str">
        <f t="shared" si="1"/>
        <v/>
      </c>
      <c r="K4" s="43" t="str">
        <f t="shared" si="2"/>
        <v/>
      </c>
      <c r="M4" s="38">
        <v>2</v>
      </c>
      <c r="N4" s="44">
        <v>11.02</v>
      </c>
    </row>
    <row r="5" spans="1:14" x14ac:dyDescent="0.3">
      <c r="A5" s="70" t="s">
        <v>0</v>
      </c>
      <c r="B5" s="70" t="s">
        <v>1</v>
      </c>
      <c r="C5" s="70" t="s">
        <v>22</v>
      </c>
      <c r="D5" s="70" t="s">
        <v>38</v>
      </c>
      <c r="F5" s="40">
        <v>25</v>
      </c>
      <c r="G5" s="41">
        <v>6.3</v>
      </c>
      <c r="H5" s="42">
        <f t="shared" si="3"/>
        <v>0.63</v>
      </c>
      <c r="I5" s="42">
        <f t="shared" si="0"/>
        <v>5.04</v>
      </c>
      <c r="J5" s="40" t="str">
        <f t="shared" si="1"/>
        <v/>
      </c>
      <c r="K5" s="43" t="str">
        <f t="shared" si="2"/>
        <v/>
      </c>
      <c r="M5" s="38">
        <v>3</v>
      </c>
      <c r="N5" s="44">
        <v>10.71</v>
      </c>
    </row>
    <row r="6" spans="1:14" x14ac:dyDescent="0.3">
      <c r="A6" s="13" t="s">
        <v>2</v>
      </c>
      <c r="B6" s="49">
        <v>0.05</v>
      </c>
      <c r="C6" s="67">
        <v>2</v>
      </c>
      <c r="D6" s="49">
        <f>IF(C6="","",C6*B6)</f>
        <v>0.1</v>
      </c>
      <c r="F6" s="40">
        <v>40</v>
      </c>
      <c r="G6" s="41">
        <v>16</v>
      </c>
      <c r="H6" s="42">
        <f t="shared" si="3"/>
        <v>1.6</v>
      </c>
      <c r="I6" s="42">
        <f t="shared" si="0"/>
        <v>12.8</v>
      </c>
      <c r="J6" s="40" t="str">
        <f t="shared" si="1"/>
        <v/>
      </c>
      <c r="K6" s="43" t="str">
        <f t="shared" si="2"/>
        <v/>
      </c>
      <c r="M6" s="38">
        <v>4</v>
      </c>
      <c r="N6" s="44">
        <v>10.67</v>
      </c>
    </row>
    <row r="7" spans="1:14" x14ac:dyDescent="0.3">
      <c r="A7" s="14" t="s">
        <v>3</v>
      </c>
      <c r="B7" s="49">
        <v>0.1</v>
      </c>
      <c r="C7" s="67"/>
      <c r="D7" s="49" t="str">
        <f t="shared" ref="D7:D27" si="4">IF(C7="","",C7*B7)</f>
        <v/>
      </c>
      <c r="F7" s="40">
        <v>50</v>
      </c>
      <c r="G7" s="41">
        <v>25</v>
      </c>
      <c r="H7" s="42">
        <f t="shared" si="3"/>
        <v>2.5</v>
      </c>
      <c r="I7" s="42">
        <f t="shared" si="0"/>
        <v>20</v>
      </c>
      <c r="J7" s="40" t="str">
        <f t="shared" si="1"/>
        <v/>
      </c>
      <c r="K7" s="43" t="str">
        <f t="shared" si="2"/>
        <v/>
      </c>
      <c r="M7" s="38">
        <v>5</v>
      </c>
      <c r="N7" s="44">
        <v>11.17</v>
      </c>
    </row>
    <row r="8" spans="1:14" x14ac:dyDescent="0.3">
      <c r="A8" s="14" t="s">
        <v>4</v>
      </c>
      <c r="B8" s="49">
        <v>0.2</v>
      </c>
      <c r="C8" s="67"/>
      <c r="D8" s="49" t="str">
        <f t="shared" si="4"/>
        <v/>
      </c>
      <c r="F8" s="40">
        <v>80</v>
      </c>
      <c r="G8" s="41">
        <v>63</v>
      </c>
      <c r="H8" s="42">
        <f t="shared" si="3"/>
        <v>6.3000000000000007</v>
      </c>
      <c r="I8" s="42">
        <f t="shared" si="0"/>
        <v>50.400000000000006</v>
      </c>
      <c r="J8" s="40" t="str">
        <f t="shared" si="1"/>
        <v/>
      </c>
      <c r="K8" s="43" t="str">
        <f t="shared" si="2"/>
        <v/>
      </c>
      <c r="M8" s="38">
        <v>6</v>
      </c>
      <c r="N8" s="44">
        <v>13.78</v>
      </c>
    </row>
    <row r="9" spans="1:14" x14ac:dyDescent="0.3">
      <c r="A9" s="14" t="s">
        <v>5</v>
      </c>
      <c r="B9" s="49">
        <v>0.3</v>
      </c>
      <c r="C9" s="67"/>
      <c r="D9" s="49" t="str">
        <f t="shared" si="4"/>
        <v/>
      </c>
      <c r="F9" s="40">
        <v>100</v>
      </c>
      <c r="G9" s="41">
        <v>100</v>
      </c>
      <c r="H9" s="42">
        <f t="shared" si="3"/>
        <v>10</v>
      </c>
      <c r="I9" s="42">
        <f t="shared" si="0"/>
        <v>80</v>
      </c>
      <c r="J9" s="40" t="str">
        <f t="shared" si="1"/>
        <v/>
      </c>
      <c r="K9" s="43" t="str">
        <f t="shared" si="2"/>
        <v/>
      </c>
      <c r="N9" s="50"/>
    </row>
    <row r="10" spans="1:14" x14ac:dyDescent="0.3">
      <c r="A10" s="14" t="s">
        <v>6</v>
      </c>
      <c r="B10" s="49">
        <v>0.2</v>
      </c>
      <c r="C10" s="67"/>
      <c r="D10" s="49" t="str">
        <f t="shared" si="4"/>
        <v/>
      </c>
      <c r="F10" s="40">
        <v>150</v>
      </c>
      <c r="G10" s="41">
        <v>160</v>
      </c>
      <c r="H10" s="42">
        <f t="shared" si="3"/>
        <v>16</v>
      </c>
      <c r="I10" s="42">
        <f t="shared" si="0"/>
        <v>128</v>
      </c>
      <c r="J10" s="40" t="str">
        <f t="shared" si="1"/>
        <v/>
      </c>
      <c r="K10" s="43" t="str">
        <f t="shared" si="2"/>
        <v/>
      </c>
      <c r="N10" s="50"/>
    </row>
    <row r="11" spans="1:14" x14ac:dyDescent="0.3">
      <c r="A11" s="14" t="s">
        <v>7</v>
      </c>
      <c r="B11" s="49">
        <v>0.1</v>
      </c>
      <c r="C11" s="67"/>
      <c r="D11" s="49" t="str">
        <f t="shared" si="4"/>
        <v/>
      </c>
      <c r="F11" s="51"/>
      <c r="G11" s="52"/>
      <c r="H11" s="10"/>
      <c r="I11" s="53"/>
      <c r="J11" s="53"/>
      <c r="K11" s="54"/>
    </row>
    <row r="12" spans="1:14" ht="13.8" customHeight="1" x14ac:dyDescent="0.3">
      <c r="A12" s="14" t="s">
        <v>8</v>
      </c>
      <c r="B12" s="49">
        <v>0.1</v>
      </c>
      <c r="C12" s="67"/>
      <c r="D12" s="49" t="str">
        <f t="shared" si="4"/>
        <v/>
      </c>
      <c r="F12" s="83" t="s">
        <v>53</v>
      </c>
      <c r="G12" s="84"/>
      <c r="H12" s="37" t="s">
        <v>23</v>
      </c>
      <c r="I12" s="37"/>
      <c r="J12" s="21" t="s">
        <v>25</v>
      </c>
      <c r="K12" s="22" t="s">
        <v>33</v>
      </c>
    </row>
    <row r="13" spans="1:14" ht="13.8" customHeight="1" x14ac:dyDescent="0.3">
      <c r="A13" s="14" t="s">
        <v>9</v>
      </c>
      <c r="B13" s="49">
        <v>1.25</v>
      </c>
      <c r="C13" s="67"/>
      <c r="D13" s="49" t="str">
        <f t="shared" si="4"/>
        <v/>
      </c>
      <c r="F13" s="11" t="s">
        <v>24</v>
      </c>
      <c r="G13" s="11" t="s">
        <v>80</v>
      </c>
      <c r="H13" s="11" t="s">
        <v>81</v>
      </c>
      <c r="I13" s="11" t="s">
        <v>82</v>
      </c>
      <c r="J13" s="11"/>
      <c r="K13" s="11"/>
    </row>
    <row r="14" spans="1:14" ht="27.6" x14ac:dyDescent="0.3">
      <c r="A14" s="55" t="s">
        <v>71</v>
      </c>
      <c r="B14" s="49">
        <v>0.15</v>
      </c>
      <c r="C14" s="67"/>
      <c r="D14" s="49" t="str">
        <f t="shared" si="4"/>
        <v/>
      </c>
      <c r="F14" s="40">
        <v>25</v>
      </c>
      <c r="G14" s="38">
        <v>6.3</v>
      </c>
      <c r="H14" s="42">
        <v>0</v>
      </c>
      <c r="I14" s="42">
        <f t="shared" ref="I14:I19" si="5">G14*0.9</f>
        <v>5.67</v>
      </c>
      <c r="J14" s="40">
        <f t="shared" ref="J14:J19" si="6">IF(AND($B$38&gt;H14,$B$38&lt;I14),F14,"")</f>
        <v>25</v>
      </c>
      <c r="K14" s="43">
        <f t="shared" ref="K14:K19" si="7">IF(J14="","",($B$38/3600)/((F14/2000)^2*PI()))</f>
        <v>0.20371832715762606</v>
      </c>
    </row>
    <row r="15" spans="1:14" x14ac:dyDescent="0.3">
      <c r="A15" s="55" t="s">
        <v>10</v>
      </c>
      <c r="B15" s="49">
        <v>0.04</v>
      </c>
      <c r="C15" s="67"/>
      <c r="D15" s="49" t="str">
        <f t="shared" si="4"/>
        <v/>
      </c>
      <c r="F15" s="40">
        <v>40</v>
      </c>
      <c r="G15" s="38">
        <v>10</v>
      </c>
      <c r="H15" s="42">
        <f>G15*0.05</f>
        <v>0.5</v>
      </c>
      <c r="I15" s="42">
        <f t="shared" si="5"/>
        <v>9</v>
      </c>
      <c r="J15" s="40" t="str">
        <f t="shared" si="6"/>
        <v/>
      </c>
      <c r="K15" s="43" t="str">
        <f t="shared" si="7"/>
        <v/>
      </c>
    </row>
    <row r="16" spans="1:14" x14ac:dyDescent="0.3">
      <c r="A16" s="55" t="s">
        <v>11</v>
      </c>
      <c r="B16" s="49">
        <v>0.2</v>
      </c>
      <c r="C16" s="67"/>
      <c r="D16" s="49" t="str">
        <f t="shared" si="4"/>
        <v/>
      </c>
      <c r="F16" s="40">
        <v>50</v>
      </c>
      <c r="G16" s="38">
        <v>25</v>
      </c>
      <c r="H16" s="42">
        <f>G16*0.05</f>
        <v>1.25</v>
      </c>
      <c r="I16" s="42">
        <f t="shared" si="5"/>
        <v>22.5</v>
      </c>
      <c r="J16" s="40" t="str">
        <f t="shared" si="6"/>
        <v/>
      </c>
      <c r="K16" s="43" t="str">
        <f t="shared" si="7"/>
        <v/>
      </c>
    </row>
    <row r="17" spans="1:12" x14ac:dyDescent="0.3">
      <c r="A17" s="55" t="s">
        <v>12</v>
      </c>
      <c r="B17" s="49">
        <v>0.3</v>
      </c>
      <c r="C17" s="67"/>
      <c r="D17" s="49" t="str">
        <f t="shared" si="4"/>
        <v/>
      </c>
      <c r="F17" s="40">
        <v>80</v>
      </c>
      <c r="G17" s="38">
        <v>63</v>
      </c>
      <c r="H17" s="42">
        <f>G17*0.05</f>
        <v>3.1500000000000004</v>
      </c>
      <c r="I17" s="42">
        <f t="shared" si="5"/>
        <v>56.7</v>
      </c>
      <c r="J17" s="40" t="str">
        <f t="shared" si="6"/>
        <v/>
      </c>
      <c r="K17" s="43" t="str">
        <f t="shared" si="7"/>
        <v/>
      </c>
    </row>
    <row r="18" spans="1:12" x14ac:dyDescent="0.3">
      <c r="A18" s="55" t="s">
        <v>13</v>
      </c>
      <c r="B18" s="49">
        <v>0.15</v>
      </c>
      <c r="C18" s="67"/>
      <c r="D18" s="49" t="str">
        <f t="shared" si="4"/>
        <v/>
      </c>
      <c r="F18" s="40">
        <v>100</v>
      </c>
      <c r="G18" s="38">
        <v>100</v>
      </c>
      <c r="H18" s="42">
        <f>G18*0.05</f>
        <v>5</v>
      </c>
      <c r="I18" s="42">
        <f t="shared" si="5"/>
        <v>90</v>
      </c>
      <c r="J18" s="40" t="str">
        <f t="shared" si="6"/>
        <v/>
      </c>
      <c r="K18" s="43" t="str">
        <f t="shared" si="7"/>
        <v/>
      </c>
    </row>
    <row r="19" spans="1:12" x14ac:dyDescent="0.3">
      <c r="A19" s="55" t="s">
        <v>14</v>
      </c>
      <c r="B19" s="49">
        <v>0.25</v>
      </c>
      <c r="C19" s="67"/>
      <c r="D19" s="49" t="str">
        <f t="shared" si="4"/>
        <v/>
      </c>
      <c r="F19" s="40">
        <v>150</v>
      </c>
      <c r="G19" s="38">
        <v>250</v>
      </c>
      <c r="H19" s="42">
        <f>G19*0.05</f>
        <v>12.5</v>
      </c>
      <c r="I19" s="42">
        <f t="shared" si="5"/>
        <v>225</v>
      </c>
      <c r="J19" s="40" t="str">
        <f t="shared" si="6"/>
        <v/>
      </c>
      <c r="K19" s="43" t="str">
        <f t="shared" si="7"/>
        <v/>
      </c>
    </row>
    <row r="20" spans="1:12" x14ac:dyDescent="0.3">
      <c r="A20" s="55" t="s">
        <v>15</v>
      </c>
      <c r="B20" s="49">
        <v>0.2</v>
      </c>
      <c r="C20" s="67"/>
      <c r="D20" s="49" t="str">
        <f t="shared" si="4"/>
        <v/>
      </c>
    </row>
    <row r="21" spans="1:12" x14ac:dyDescent="0.3">
      <c r="A21" s="55" t="s">
        <v>16</v>
      </c>
      <c r="B21" s="49">
        <v>0.2</v>
      </c>
      <c r="C21" s="67"/>
      <c r="D21" s="49" t="str">
        <f t="shared" si="4"/>
        <v/>
      </c>
      <c r="F21" s="85" t="s">
        <v>27</v>
      </c>
      <c r="G21" s="85"/>
      <c r="H21" s="85"/>
      <c r="I21" s="85"/>
      <c r="J21" s="85"/>
      <c r="K21" s="85"/>
      <c r="L21" s="85"/>
    </row>
    <row r="22" spans="1:12" x14ac:dyDescent="0.3">
      <c r="A22" s="55" t="s">
        <v>17</v>
      </c>
      <c r="B22" s="49">
        <v>0.6</v>
      </c>
      <c r="C22" s="67"/>
      <c r="D22" s="49" t="str">
        <f t="shared" si="4"/>
        <v/>
      </c>
      <c r="F22" s="11" t="s">
        <v>24</v>
      </c>
      <c r="G22" s="11" t="s">
        <v>26</v>
      </c>
      <c r="H22" s="11" t="s">
        <v>28</v>
      </c>
      <c r="I22" s="11" t="s">
        <v>29</v>
      </c>
      <c r="J22" s="11" t="s">
        <v>27</v>
      </c>
      <c r="K22" s="11" t="s">
        <v>33</v>
      </c>
      <c r="L22" s="11"/>
    </row>
    <row r="23" spans="1:12" x14ac:dyDescent="0.3">
      <c r="A23" s="55" t="s">
        <v>39</v>
      </c>
      <c r="B23" s="49">
        <v>0.15</v>
      </c>
      <c r="C23" s="67"/>
      <c r="D23" s="49" t="str">
        <f t="shared" si="4"/>
        <v/>
      </c>
      <c r="F23" s="40">
        <v>20</v>
      </c>
      <c r="G23" s="56">
        <f>+F23-2.3*2</f>
        <v>15.4</v>
      </c>
      <c r="H23" s="24">
        <v>2</v>
      </c>
      <c r="I23" s="25">
        <f>PI()*(G23/2/1000)^2*H23*1000</f>
        <v>0.37253005686267771</v>
      </c>
      <c r="J23" s="40">
        <f>IF($B$38*1000/60/60&lt;=I23,F23,"")</f>
        <v>20</v>
      </c>
      <c r="K23" s="43">
        <f>IF(J23="","",($B$35/3600)/((G23/2000)^2*PI()))</f>
        <v>0.53686943191733971</v>
      </c>
      <c r="L23" s="25" t="s">
        <v>51</v>
      </c>
    </row>
    <row r="24" spans="1:12" x14ac:dyDescent="0.3">
      <c r="A24" s="55" t="s">
        <v>18</v>
      </c>
      <c r="B24" s="49">
        <v>0.2</v>
      </c>
      <c r="C24" s="67"/>
      <c r="D24" s="49" t="str">
        <f t="shared" si="4"/>
        <v/>
      </c>
      <c r="F24" s="40">
        <v>32</v>
      </c>
      <c r="G24" s="56">
        <v>26</v>
      </c>
      <c r="H24" s="24">
        <v>2</v>
      </c>
      <c r="I24" s="25">
        <f t="shared" ref="I24:I31" si="8">PI()*(G24/2/1000)^2*H24*1000</f>
        <v>1.06185831691335</v>
      </c>
      <c r="J24" s="40">
        <f t="shared" ref="J24:J31" si="9">IF($B$38*1000/60/60&lt;=I24,F24,"")</f>
        <v>32</v>
      </c>
      <c r="K24" s="43">
        <f t="shared" ref="K24:K31" si="10">IF(J24="","",($B$35/3600)/((G24/2000)^2*PI()))</f>
        <v>0.18834904507916614</v>
      </c>
      <c r="L24" s="25" t="s">
        <v>52</v>
      </c>
    </row>
    <row r="25" spans="1:12" x14ac:dyDescent="0.3">
      <c r="A25" s="55" t="s">
        <v>19</v>
      </c>
      <c r="B25" s="49">
        <v>0.2</v>
      </c>
      <c r="C25" s="67"/>
      <c r="D25" s="49" t="str">
        <f t="shared" si="4"/>
        <v/>
      </c>
      <c r="F25" s="40">
        <v>40</v>
      </c>
      <c r="G25" s="56">
        <v>32.6</v>
      </c>
      <c r="H25" s="24">
        <v>2</v>
      </c>
      <c r="I25" s="25">
        <f t="shared" si="8"/>
        <v>1.6693795042645447</v>
      </c>
      <c r="J25" s="40">
        <f t="shared" si="9"/>
        <v>40</v>
      </c>
      <c r="K25" s="43">
        <f t="shared" si="10"/>
        <v>0.11980499310617285</v>
      </c>
      <c r="L25" s="25" t="s">
        <v>52</v>
      </c>
    </row>
    <row r="26" spans="1:12" x14ac:dyDescent="0.3">
      <c r="A26" s="69"/>
      <c r="B26" s="69"/>
      <c r="C26" s="67"/>
      <c r="D26" s="49" t="str">
        <f t="shared" si="4"/>
        <v/>
      </c>
      <c r="F26" s="40">
        <v>63</v>
      </c>
      <c r="G26" s="56">
        <v>51.4</v>
      </c>
      <c r="H26" s="24">
        <v>2</v>
      </c>
      <c r="I26" s="25">
        <f t="shared" si="8"/>
        <v>4.1499810635390455</v>
      </c>
      <c r="J26" s="40">
        <f t="shared" si="9"/>
        <v>63</v>
      </c>
      <c r="K26" s="43">
        <f t="shared" si="10"/>
        <v>4.819299098908246E-2</v>
      </c>
      <c r="L26" s="25" t="s">
        <v>52</v>
      </c>
    </row>
    <row r="27" spans="1:12" x14ac:dyDescent="0.3">
      <c r="A27" s="69"/>
      <c r="B27" s="69"/>
      <c r="C27" s="67"/>
      <c r="D27" s="49" t="str">
        <f t="shared" si="4"/>
        <v/>
      </c>
      <c r="F27" s="40">
        <v>90</v>
      </c>
      <c r="G27" s="56">
        <v>73.599999999999994</v>
      </c>
      <c r="H27" s="24">
        <v>2.5</v>
      </c>
      <c r="I27" s="25">
        <f t="shared" si="8"/>
        <v>10.636176087993602</v>
      </c>
      <c r="J27" s="40">
        <f t="shared" si="9"/>
        <v>90</v>
      </c>
      <c r="K27" s="43">
        <f t="shared" si="10"/>
        <v>2.3504687956624436E-2</v>
      </c>
      <c r="L27" s="25" t="s">
        <v>52</v>
      </c>
    </row>
    <row r="28" spans="1:12" x14ac:dyDescent="0.3">
      <c r="A28" s="57" t="s">
        <v>20</v>
      </c>
      <c r="B28" s="55"/>
      <c r="C28" s="68">
        <f>SUM(C6:C27)</f>
        <v>2</v>
      </c>
      <c r="D28" s="58">
        <f>SUM(D6:D27)</f>
        <v>0.1</v>
      </c>
      <c r="F28" s="40">
        <v>125</v>
      </c>
      <c r="G28" s="56">
        <v>102.3</v>
      </c>
      <c r="H28" s="24">
        <v>2.5</v>
      </c>
      <c r="I28" s="25">
        <f t="shared" si="8"/>
        <v>20.548548863554206</v>
      </c>
      <c r="J28" s="40">
        <f t="shared" si="9"/>
        <v>125</v>
      </c>
      <c r="K28" s="43">
        <f t="shared" si="10"/>
        <v>1.2166309244513653E-2</v>
      </c>
      <c r="L28" s="25" t="s">
        <v>52</v>
      </c>
    </row>
    <row r="29" spans="1:12" x14ac:dyDescent="0.3">
      <c r="A29" s="55" t="s">
        <v>35</v>
      </c>
      <c r="B29" s="88">
        <f>1/(C28-1)^0.5</f>
        <v>1</v>
      </c>
      <c r="C29" s="88"/>
      <c r="D29" s="2"/>
      <c r="F29" s="40">
        <v>180</v>
      </c>
      <c r="G29" s="56">
        <v>147.30000000000001</v>
      </c>
      <c r="H29" s="24">
        <v>2.5</v>
      </c>
      <c r="I29" s="25">
        <f t="shared" si="8"/>
        <v>42.602529291754564</v>
      </c>
      <c r="J29" s="40">
        <f t="shared" si="9"/>
        <v>180</v>
      </c>
      <c r="K29" s="43">
        <f t="shared" si="10"/>
        <v>5.86819618825744E-3</v>
      </c>
      <c r="L29" s="25" t="s">
        <v>52</v>
      </c>
    </row>
    <row r="30" spans="1:12" x14ac:dyDescent="0.3">
      <c r="A30" s="47"/>
      <c r="B30" s="48"/>
      <c r="C30" s="48"/>
      <c r="D30" s="2"/>
      <c r="F30" s="40">
        <v>250</v>
      </c>
      <c r="G30" s="56">
        <v>204.5</v>
      </c>
      <c r="H30" s="24">
        <v>2.5</v>
      </c>
      <c r="I30" s="25">
        <f t="shared" si="8"/>
        <v>82.113868857055323</v>
      </c>
      <c r="J30" s="40">
        <f t="shared" si="9"/>
        <v>250</v>
      </c>
      <c r="K30" s="43">
        <f t="shared" si="10"/>
        <v>3.0445526861631943E-3</v>
      </c>
      <c r="L30" s="25" t="s">
        <v>52</v>
      </c>
    </row>
    <row r="31" spans="1:12" x14ac:dyDescent="0.3">
      <c r="A31" s="71" t="s">
        <v>60</v>
      </c>
      <c r="B31" s="2"/>
      <c r="C31" s="2"/>
      <c r="D31" s="2"/>
      <c r="F31" s="40">
        <v>315</v>
      </c>
      <c r="G31" s="56">
        <v>257.7</v>
      </c>
      <c r="H31" s="24">
        <v>2.5</v>
      </c>
      <c r="I31" s="25">
        <f t="shared" si="8"/>
        <v>130.39433599632133</v>
      </c>
      <c r="J31" s="40">
        <f t="shared" si="9"/>
        <v>315</v>
      </c>
      <c r="K31" s="43">
        <f t="shared" si="10"/>
        <v>1.9172611915217932E-3</v>
      </c>
      <c r="L31" s="25" t="s">
        <v>52</v>
      </c>
    </row>
    <row r="32" spans="1:12" x14ac:dyDescent="0.3">
      <c r="A32" s="55" t="s">
        <v>34</v>
      </c>
      <c r="B32" s="74">
        <v>1</v>
      </c>
      <c r="C32" s="2"/>
      <c r="D32" s="2"/>
    </row>
    <row r="33" spans="1:12" x14ac:dyDescent="0.3">
      <c r="A33" s="55" t="s">
        <v>37</v>
      </c>
      <c r="B33" s="59">
        <f>(19+B32)/(10*(B32+1))</f>
        <v>1</v>
      </c>
      <c r="C33" s="2"/>
      <c r="D33" s="2"/>
      <c r="F33" s="26" t="s">
        <v>44</v>
      </c>
    </row>
    <row r="34" spans="1:12" x14ac:dyDescent="0.3">
      <c r="A34" s="55" t="s">
        <v>36</v>
      </c>
      <c r="B34" s="65">
        <f>D28*B32*B29*B33</f>
        <v>0.1</v>
      </c>
      <c r="C34" s="2"/>
      <c r="D34" s="2"/>
      <c r="F34" s="8" t="s">
        <v>40</v>
      </c>
    </row>
    <row r="35" spans="1:12" x14ac:dyDescent="0.3">
      <c r="A35" s="55" t="s">
        <v>36</v>
      </c>
      <c r="B35" s="60">
        <f>B34/1000*3600</f>
        <v>0.36000000000000004</v>
      </c>
      <c r="C35" s="2"/>
      <c r="D35" s="2"/>
      <c r="F35" s="81" t="s">
        <v>50</v>
      </c>
      <c r="G35" s="81"/>
      <c r="H35" s="81"/>
      <c r="I35" s="81"/>
      <c r="J35" s="81"/>
      <c r="K35" s="81"/>
      <c r="L35" s="81"/>
    </row>
    <row r="36" spans="1:12" x14ac:dyDescent="0.3">
      <c r="B36" s="46"/>
      <c r="C36" s="2"/>
      <c r="D36" s="2"/>
    </row>
    <row r="37" spans="1:12" x14ac:dyDescent="0.3">
      <c r="A37" s="72" t="s">
        <v>61</v>
      </c>
      <c r="C37" s="2"/>
      <c r="D37" s="2"/>
    </row>
    <row r="38" spans="1:12" x14ac:dyDescent="0.3">
      <c r="A38" s="45" t="s">
        <v>32</v>
      </c>
      <c r="B38" s="60">
        <f>B35</f>
        <v>0.36000000000000004</v>
      </c>
      <c r="C38" s="2"/>
      <c r="D38" s="2"/>
    </row>
    <row r="40" spans="1:12" x14ac:dyDescent="0.3">
      <c r="A40" s="73" t="s">
        <v>55</v>
      </c>
      <c r="B40" s="46"/>
      <c r="C40" s="46"/>
      <c r="D40" s="46"/>
    </row>
    <row r="41" spans="1:12" x14ac:dyDescent="0.3">
      <c r="A41" s="38" t="s">
        <v>70</v>
      </c>
      <c r="B41" s="40" t="s">
        <v>33</v>
      </c>
      <c r="C41" s="51"/>
      <c r="D41" s="51"/>
    </row>
    <row r="42" spans="1:12" x14ac:dyDescent="0.3">
      <c r="A42" s="40">
        <f t="shared" ref="A42:A49" si="11">J3</f>
        <v>15</v>
      </c>
      <c r="B42" s="43">
        <f t="shared" ref="B42:B49" si="12">+K3</f>
        <v>0.56588424210451693</v>
      </c>
      <c r="C42" s="61"/>
      <c r="D42" s="61"/>
    </row>
    <row r="43" spans="1:12" x14ac:dyDescent="0.3">
      <c r="A43" s="40" t="str">
        <f t="shared" si="11"/>
        <v/>
      </c>
      <c r="B43" s="43" t="str">
        <f t="shared" si="12"/>
        <v/>
      </c>
      <c r="C43" s="61"/>
      <c r="D43" s="61"/>
    </row>
    <row r="44" spans="1:12" x14ac:dyDescent="0.3">
      <c r="A44" s="40" t="str">
        <f t="shared" si="11"/>
        <v/>
      </c>
      <c r="B44" s="43" t="str">
        <f t="shared" si="12"/>
        <v/>
      </c>
      <c r="C44" s="61"/>
      <c r="D44" s="61"/>
    </row>
    <row r="45" spans="1:12" x14ac:dyDescent="0.3">
      <c r="A45" s="40" t="str">
        <f t="shared" si="11"/>
        <v/>
      </c>
      <c r="B45" s="43" t="str">
        <f t="shared" si="12"/>
        <v/>
      </c>
      <c r="C45" s="61"/>
      <c r="D45" s="61"/>
    </row>
    <row r="46" spans="1:12" x14ac:dyDescent="0.3">
      <c r="A46" s="40" t="str">
        <f t="shared" si="11"/>
        <v/>
      </c>
      <c r="B46" s="43" t="str">
        <f t="shared" si="12"/>
        <v/>
      </c>
      <c r="C46" s="61"/>
      <c r="D46" s="61"/>
    </row>
    <row r="47" spans="1:12" x14ac:dyDescent="0.3">
      <c r="A47" s="40" t="str">
        <f t="shared" si="11"/>
        <v/>
      </c>
      <c r="B47" s="43" t="str">
        <f t="shared" si="12"/>
        <v/>
      </c>
      <c r="C47" s="61"/>
      <c r="D47" s="61"/>
    </row>
    <row r="48" spans="1:12" x14ac:dyDescent="0.3">
      <c r="A48" s="40" t="str">
        <f t="shared" si="11"/>
        <v/>
      </c>
      <c r="B48" s="43" t="str">
        <f t="shared" si="12"/>
        <v/>
      </c>
      <c r="C48" s="61"/>
      <c r="D48" s="61"/>
    </row>
    <row r="49" spans="1:4" x14ac:dyDescent="0.3">
      <c r="A49" s="62" t="str">
        <f t="shared" si="11"/>
        <v/>
      </c>
      <c r="B49" s="43" t="str">
        <f t="shared" si="12"/>
        <v/>
      </c>
      <c r="C49" s="61"/>
      <c r="D49" s="61"/>
    </row>
    <row r="51" spans="1:4" x14ac:dyDescent="0.3">
      <c r="A51" s="73" t="s">
        <v>62</v>
      </c>
      <c r="B51" s="46"/>
      <c r="C51" s="46"/>
      <c r="D51" s="46"/>
    </row>
    <row r="52" spans="1:4" x14ac:dyDescent="0.3">
      <c r="A52" s="38" t="s">
        <v>70</v>
      </c>
      <c r="B52" s="40" t="s">
        <v>33</v>
      </c>
      <c r="C52" s="51"/>
      <c r="D52" s="51"/>
    </row>
    <row r="53" spans="1:4" x14ac:dyDescent="0.3">
      <c r="A53" s="40">
        <f t="shared" ref="A53:B58" si="13">+J14</f>
        <v>25</v>
      </c>
      <c r="B53" s="43">
        <f t="shared" si="13"/>
        <v>0.20371832715762606</v>
      </c>
      <c r="C53" s="61"/>
      <c r="D53" s="61"/>
    </row>
    <row r="54" spans="1:4" x14ac:dyDescent="0.3">
      <c r="A54" s="40" t="str">
        <f t="shared" si="13"/>
        <v/>
      </c>
      <c r="B54" s="43" t="str">
        <f t="shared" si="13"/>
        <v/>
      </c>
      <c r="C54" s="61"/>
      <c r="D54" s="61"/>
    </row>
    <row r="55" spans="1:4" x14ac:dyDescent="0.3">
      <c r="A55" s="40" t="str">
        <f t="shared" si="13"/>
        <v/>
      </c>
      <c r="B55" s="43" t="str">
        <f t="shared" si="13"/>
        <v/>
      </c>
      <c r="C55" s="61"/>
      <c r="D55" s="61"/>
    </row>
    <row r="56" spans="1:4" x14ac:dyDescent="0.3">
      <c r="A56" s="40" t="str">
        <f t="shared" si="13"/>
        <v/>
      </c>
      <c r="B56" s="43" t="str">
        <f t="shared" si="13"/>
        <v/>
      </c>
      <c r="C56" s="61"/>
      <c r="D56" s="61"/>
    </row>
    <row r="57" spans="1:4" x14ac:dyDescent="0.3">
      <c r="A57" s="40" t="str">
        <f t="shared" si="13"/>
        <v/>
      </c>
      <c r="B57" s="43" t="str">
        <f t="shared" si="13"/>
        <v/>
      </c>
      <c r="C57" s="61"/>
      <c r="D57" s="61"/>
    </row>
    <row r="58" spans="1:4" x14ac:dyDescent="0.3">
      <c r="A58" s="40" t="str">
        <f t="shared" si="13"/>
        <v/>
      </c>
      <c r="B58" s="43" t="str">
        <f t="shared" si="13"/>
        <v/>
      </c>
      <c r="C58" s="61"/>
      <c r="D58" s="61"/>
    </row>
    <row r="59" spans="1:4" x14ac:dyDescent="0.3">
      <c r="A59" s="10"/>
      <c r="B59" s="63"/>
      <c r="C59" s="63"/>
      <c r="D59" s="63"/>
    </row>
    <row r="60" spans="1:4" x14ac:dyDescent="0.3">
      <c r="A60" s="73" t="s">
        <v>63</v>
      </c>
      <c r="B60" s="46"/>
      <c r="C60" s="46"/>
      <c r="D60" s="46"/>
    </row>
    <row r="61" spans="1:4" x14ac:dyDescent="0.3">
      <c r="A61" s="39" t="s">
        <v>56</v>
      </c>
      <c r="B61" s="32" t="s">
        <v>57</v>
      </c>
      <c r="C61" s="34"/>
      <c r="D61" s="34"/>
    </row>
    <row r="62" spans="1:4" x14ac:dyDescent="0.3">
      <c r="A62" s="40">
        <f t="shared" ref="A62:A70" si="14">+J23</f>
        <v>20</v>
      </c>
      <c r="B62" s="64">
        <f t="shared" ref="B62:B70" si="15">+K23</f>
        <v>0.53686943191733971</v>
      </c>
      <c r="C62" s="61"/>
      <c r="D62" s="61"/>
    </row>
    <row r="63" spans="1:4" x14ac:dyDescent="0.3">
      <c r="A63" s="40">
        <f t="shared" si="14"/>
        <v>32</v>
      </c>
      <c r="B63" s="64">
        <f t="shared" si="15"/>
        <v>0.18834904507916614</v>
      </c>
      <c r="C63" s="61"/>
      <c r="D63" s="61"/>
    </row>
    <row r="64" spans="1:4" x14ac:dyDescent="0.3">
      <c r="A64" s="40">
        <f t="shared" si="14"/>
        <v>40</v>
      </c>
      <c r="B64" s="64">
        <f t="shared" si="15"/>
        <v>0.11980499310617285</v>
      </c>
      <c r="C64" s="61"/>
      <c r="D64" s="61"/>
    </row>
    <row r="65" spans="1:4" x14ac:dyDescent="0.3">
      <c r="A65" s="40">
        <f t="shared" si="14"/>
        <v>63</v>
      </c>
      <c r="B65" s="64">
        <f t="shared" si="15"/>
        <v>4.819299098908246E-2</v>
      </c>
      <c r="C65" s="61"/>
      <c r="D65" s="61"/>
    </row>
    <row r="66" spans="1:4" x14ac:dyDescent="0.3">
      <c r="A66" s="40">
        <f t="shared" si="14"/>
        <v>90</v>
      </c>
      <c r="B66" s="64">
        <f t="shared" si="15"/>
        <v>2.3504687956624436E-2</v>
      </c>
      <c r="C66" s="61"/>
      <c r="D66" s="61"/>
    </row>
    <row r="67" spans="1:4" x14ac:dyDescent="0.3">
      <c r="A67" s="40">
        <f t="shared" si="14"/>
        <v>125</v>
      </c>
      <c r="B67" s="64">
        <f t="shared" si="15"/>
        <v>1.2166309244513653E-2</v>
      </c>
      <c r="C67" s="61"/>
      <c r="D67" s="61"/>
    </row>
    <row r="68" spans="1:4" x14ac:dyDescent="0.3">
      <c r="A68" s="40">
        <f t="shared" si="14"/>
        <v>180</v>
      </c>
      <c r="B68" s="64">
        <f t="shared" si="15"/>
        <v>5.86819618825744E-3</v>
      </c>
      <c r="C68" s="61"/>
      <c r="D68" s="61"/>
    </row>
    <row r="69" spans="1:4" x14ac:dyDescent="0.3">
      <c r="A69" s="40">
        <f t="shared" si="14"/>
        <v>250</v>
      </c>
      <c r="B69" s="64">
        <f t="shared" si="15"/>
        <v>3.0445526861631943E-3</v>
      </c>
      <c r="C69" s="61"/>
      <c r="D69" s="61"/>
    </row>
    <row r="70" spans="1:4" x14ac:dyDescent="0.3">
      <c r="A70" s="40">
        <f t="shared" si="14"/>
        <v>315</v>
      </c>
      <c r="B70" s="64">
        <f t="shared" si="15"/>
        <v>1.9172611915217932E-3</v>
      </c>
      <c r="C70" s="61"/>
      <c r="D70" s="61"/>
    </row>
  </sheetData>
  <mergeCells count="8">
    <mergeCell ref="M1:N1"/>
    <mergeCell ref="F35:L35"/>
    <mergeCell ref="A2:B2"/>
    <mergeCell ref="A1:B1"/>
    <mergeCell ref="B29:C29"/>
    <mergeCell ref="F21:L21"/>
    <mergeCell ref="F12:G12"/>
    <mergeCell ref="F1:G1"/>
  </mergeCells>
  <printOptions horizontalCentered="1"/>
  <pageMargins left="1.1811023622047201" right="1.1811023622047201" top="1.1811023622047201" bottom="1.1811023622047201" header="0.31496062992126" footer="0.31496062992126"/>
  <pageSetup scale="77" orientation="portrait" r:id="rId1"/>
  <rowBreaks count="1" manualBreakCount="1">
    <brk id="50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F2E48-377F-4BFB-B768-75F1F264651E}">
  <dimension ref="A1:N80"/>
  <sheetViews>
    <sheetView view="pageBreakPreview" zoomScaleNormal="130" zoomScaleSheetLayoutView="100" workbookViewId="0">
      <selection activeCell="H17" sqref="H17"/>
    </sheetView>
  </sheetViews>
  <sheetFormatPr baseColWidth="10" defaultColWidth="11.44140625" defaultRowHeight="13.8" x14ac:dyDescent="0.3"/>
  <cols>
    <col min="1" max="1" width="50.88671875" style="2" bestFit="1" customWidth="1"/>
    <col min="2" max="2" width="20.33203125" style="10" customWidth="1"/>
    <col min="3" max="3" width="10.88671875" style="10" bestFit="1" customWidth="1"/>
    <col min="4" max="4" width="10.33203125" style="10" bestFit="1" customWidth="1"/>
    <col min="5" max="5" width="11.44140625" style="2"/>
    <col min="6" max="6" width="8.21875" style="2" customWidth="1"/>
    <col min="7" max="7" width="14.33203125" style="2" bestFit="1" customWidth="1"/>
    <col min="8" max="8" width="17.44140625" style="2" bestFit="1" customWidth="1"/>
    <col min="9" max="9" width="13.88671875" style="2" bestFit="1" customWidth="1"/>
    <col min="10" max="11" width="19.88671875" style="2" bestFit="1" customWidth="1"/>
    <col min="12" max="12" width="14" style="2" customWidth="1"/>
    <col min="13" max="13" width="10.21875" style="2" bestFit="1" customWidth="1"/>
    <col min="14" max="15" width="14.88671875" style="2" bestFit="1" customWidth="1"/>
    <col min="16" max="16" width="5.21875" style="2" bestFit="1" customWidth="1"/>
    <col min="17" max="17" width="14.5546875" style="2" bestFit="1" customWidth="1"/>
    <col min="18" max="16384" width="11.44140625" style="2"/>
  </cols>
  <sheetData>
    <row r="1" spans="1:14" ht="13.8" customHeight="1" x14ac:dyDescent="0.3">
      <c r="A1" s="87" t="s">
        <v>21</v>
      </c>
      <c r="B1" s="87"/>
      <c r="C1" s="33"/>
      <c r="D1" s="77" t="s">
        <v>54</v>
      </c>
      <c r="F1" s="83" t="s">
        <v>46</v>
      </c>
      <c r="G1" s="84"/>
      <c r="H1" s="37" t="s">
        <v>23</v>
      </c>
      <c r="I1" s="37"/>
      <c r="J1" s="21" t="s">
        <v>25</v>
      </c>
      <c r="K1" s="22" t="s">
        <v>33</v>
      </c>
      <c r="M1" s="85" t="s">
        <v>45</v>
      </c>
      <c r="N1" s="85"/>
    </row>
    <row r="2" spans="1:14" ht="41.4" customHeight="1" x14ac:dyDescent="0.3">
      <c r="A2" s="86" t="s">
        <v>69</v>
      </c>
      <c r="B2" s="86"/>
      <c r="C2" s="2"/>
      <c r="E2" s="3"/>
      <c r="F2" s="11" t="s">
        <v>24</v>
      </c>
      <c r="G2" s="11" t="s">
        <v>80</v>
      </c>
      <c r="H2" s="11" t="s">
        <v>81</v>
      </c>
      <c r="I2" s="11" t="s">
        <v>82</v>
      </c>
      <c r="J2" s="11"/>
      <c r="K2" s="11"/>
      <c r="M2" s="38" t="s">
        <v>42</v>
      </c>
      <c r="N2" s="39" t="s">
        <v>41</v>
      </c>
    </row>
    <row r="3" spans="1:14" x14ac:dyDescent="0.3">
      <c r="F3" s="40">
        <v>15</v>
      </c>
      <c r="G3" s="41">
        <v>2.5</v>
      </c>
      <c r="H3" s="42">
        <v>0</v>
      </c>
      <c r="I3" s="42">
        <f t="shared" ref="I3:I10" si="0">G3*0.8</f>
        <v>2</v>
      </c>
      <c r="J3" s="40">
        <f t="shared" ref="J3:J10" si="1">IF(AND($B$48&gt;H3,$B$48&lt;I3),F3,"")</f>
        <v>15</v>
      </c>
      <c r="K3" s="43">
        <f t="shared" ref="K3:K10" si="2">IF(J3="","",($B$48/3600)/((F3/2000)^2*PI()))</f>
        <v>0.56588424210451693</v>
      </c>
      <c r="M3" s="38">
        <v>1</v>
      </c>
      <c r="N3" s="44">
        <v>10.07</v>
      </c>
    </row>
    <row r="4" spans="1:14" ht="13.8" customHeight="1" x14ac:dyDescent="0.3">
      <c r="A4" s="71" t="s">
        <v>73</v>
      </c>
      <c r="B4" s="20"/>
      <c r="C4" s="46"/>
      <c r="D4" s="2"/>
      <c r="F4" s="40">
        <v>20</v>
      </c>
      <c r="G4" s="41">
        <v>4</v>
      </c>
      <c r="H4" s="42">
        <f t="shared" ref="H4:H10" si="3">G4*0.1</f>
        <v>0.4</v>
      </c>
      <c r="I4" s="42">
        <f t="shared" si="0"/>
        <v>3.2</v>
      </c>
      <c r="J4" s="40" t="str">
        <f t="shared" si="1"/>
        <v/>
      </c>
      <c r="K4" s="43" t="str">
        <f t="shared" si="2"/>
        <v/>
      </c>
      <c r="M4" s="38">
        <v>2</v>
      </c>
      <c r="N4" s="44">
        <v>11.02</v>
      </c>
    </row>
    <row r="5" spans="1:14" x14ac:dyDescent="0.3">
      <c r="A5" s="4" t="s">
        <v>43</v>
      </c>
      <c r="B5" s="66">
        <v>1</v>
      </c>
      <c r="C5" s="46"/>
      <c r="D5" s="2"/>
      <c r="F5" s="40">
        <v>25</v>
      </c>
      <c r="G5" s="41">
        <v>6.3</v>
      </c>
      <c r="H5" s="42">
        <f t="shared" si="3"/>
        <v>0.63</v>
      </c>
      <c r="I5" s="42">
        <f t="shared" si="0"/>
        <v>5.04</v>
      </c>
      <c r="J5" s="40" t="str">
        <f t="shared" si="1"/>
        <v/>
      </c>
      <c r="K5" s="43" t="str">
        <f t="shared" si="2"/>
        <v/>
      </c>
      <c r="M5" s="38">
        <v>3</v>
      </c>
      <c r="N5" s="44">
        <v>10.71</v>
      </c>
    </row>
    <row r="6" spans="1:14" x14ac:dyDescent="0.3">
      <c r="A6" s="4" t="s">
        <v>30</v>
      </c>
      <c r="B6" s="66">
        <v>0</v>
      </c>
      <c r="C6" s="46"/>
      <c r="D6" s="2"/>
      <c r="F6" s="40">
        <v>40</v>
      </c>
      <c r="G6" s="41">
        <v>16</v>
      </c>
      <c r="H6" s="42">
        <f t="shared" si="3"/>
        <v>1.6</v>
      </c>
      <c r="I6" s="42">
        <f t="shared" si="0"/>
        <v>12.8</v>
      </c>
      <c r="J6" s="40" t="str">
        <f t="shared" si="1"/>
        <v/>
      </c>
      <c r="K6" s="43" t="str">
        <f t="shared" si="2"/>
        <v/>
      </c>
      <c r="M6" s="38">
        <v>4</v>
      </c>
      <c r="N6" s="44">
        <v>10.67</v>
      </c>
    </row>
    <row r="7" spans="1:14" x14ac:dyDescent="0.3">
      <c r="A7" s="4" t="s">
        <v>41</v>
      </c>
      <c r="B7" s="28">
        <f>VLOOKUP(B5,$M$3:$N$8,2,0)</f>
        <v>10.07</v>
      </c>
      <c r="C7" s="46"/>
      <c r="D7" s="2"/>
      <c r="F7" s="40">
        <v>50</v>
      </c>
      <c r="G7" s="41">
        <v>25</v>
      </c>
      <c r="H7" s="42">
        <f t="shared" si="3"/>
        <v>2.5</v>
      </c>
      <c r="I7" s="42">
        <f t="shared" si="0"/>
        <v>20</v>
      </c>
      <c r="J7" s="40" t="str">
        <f t="shared" si="1"/>
        <v/>
      </c>
      <c r="K7" s="43" t="str">
        <f t="shared" si="2"/>
        <v/>
      </c>
      <c r="M7" s="38">
        <v>5</v>
      </c>
      <c r="N7" s="44">
        <v>11.17</v>
      </c>
    </row>
    <row r="8" spans="1:14" x14ac:dyDescent="0.3">
      <c r="A8" s="50" t="s">
        <v>78</v>
      </c>
      <c r="B8" s="78">
        <f>B6*B7</f>
        <v>0</v>
      </c>
      <c r="C8" s="46"/>
      <c r="D8" s="2"/>
      <c r="F8" s="40">
        <v>80</v>
      </c>
      <c r="G8" s="41">
        <v>63</v>
      </c>
      <c r="H8" s="42">
        <f t="shared" si="3"/>
        <v>6.3000000000000007</v>
      </c>
      <c r="I8" s="42">
        <f t="shared" si="0"/>
        <v>50.400000000000006</v>
      </c>
      <c r="J8" s="40" t="str">
        <f t="shared" si="1"/>
        <v/>
      </c>
      <c r="K8" s="43" t="str">
        <f t="shared" si="2"/>
        <v/>
      </c>
      <c r="M8" s="38">
        <v>6</v>
      </c>
      <c r="N8" s="44">
        <v>13.78</v>
      </c>
    </row>
    <row r="9" spans="1:14" x14ac:dyDescent="0.3">
      <c r="A9" s="55" t="s">
        <v>79</v>
      </c>
      <c r="B9" s="80">
        <v>0</v>
      </c>
      <c r="C9" s="46"/>
      <c r="D9" s="2"/>
      <c r="F9" s="40">
        <v>100</v>
      </c>
      <c r="G9" s="41">
        <v>100</v>
      </c>
      <c r="H9" s="42">
        <f t="shared" si="3"/>
        <v>10</v>
      </c>
      <c r="I9" s="42">
        <f t="shared" si="0"/>
        <v>80</v>
      </c>
      <c r="J9" s="40" t="str">
        <f t="shared" si="1"/>
        <v/>
      </c>
      <c r="K9" s="43" t="str">
        <f t="shared" si="2"/>
        <v/>
      </c>
      <c r="N9" s="50"/>
    </row>
    <row r="10" spans="1:14" x14ac:dyDescent="0.3">
      <c r="A10" s="4" t="s">
        <v>74</v>
      </c>
      <c r="B10" s="79">
        <f>(B8+B9)/30</f>
        <v>0</v>
      </c>
      <c r="D10" s="2"/>
      <c r="F10" s="40">
        <v>150</v>
      </c>
      <c r="G10" s="41">
        <v>160</v>
      </c>
      <c r="H10" s="42">
        <f t="shared" si="3"/>
        <v>16</v>
      </c>
      <c r="I10" s="42">
        <f t="shared" si="0"/>
        <v>128</v>
      </c>
      <c r="J10" s="40" t="str">
        <f t="shared" si="1"/>
        <v/>
      </c>
      <c r="K10" s="43" t="str">
        <f t="shared" si="2"/>
        <v/>
      </c>
      <c r="N10" s="50"/>
    </row>
    <row r="11" spans="1:14" x14ac:dyDescent="0.3">
      <c r="A11" s="4" t="s">
        <v>31</v>
      </c>
      <c r="B11" s="29">
        <v>10</v>
      </c>
      <c r="D11" s="2"/>
      <c r="F11" s="51"/>
      <c r="G11" s="52"/>
      <c r="H11" s="10"/>
      <c r="I11" s="53"/>
      <c r="J11" s="53"/>
      <c r="K11" s="54"/>
    </row>
    <row r="12" spans="1:14" ht="13.8" customHeight="1" x14ac:dyDescent="0.3">
      <c r="A12" s="4" t="s">
        <v>77</v>
      </c>
      <c r="B12" s="60">
        <f>B10/B11</f>
        <v>0</v>
      </c>
      <c r="D12" s="2"/>
      <c r="F12" s="83" t="s">
        <v>53</v>
      </c>
      <c r="G12" s="84"/>
      <c r="H12" s="37" t="s">
        <v>23</v>
      </c>
      <c r="I12" s="37"/>
      <c r="J12" s="21" t="s">
        <v>25</v>
      </c>
      <c r="K12" s="22" t="s">
        <v>33</v>
      </c>
    </row>
    <row r="13" spans="1:14" ht="13.8" customHeight="1" x14ac:dyDescent="0.3">
      <c r="A13" s="75"/>
      <c r="B13" s="5"/>
      <c r="C13" s="46"/>
      <c r="D13" s="2"/>
      <c r="F13" s="11" t="s">
        <v>24</v>
      </c>
      <c r="G13" s="11" t="s">
        <v>80</v>
      </c>
      <c r="H13" s="11" t="s">
        <v>81</v>
      </c>
      <c r="I13" s="11" t="s">
        <v>82</v>
      </c>
      <c r="J13" s="11"/>
      <c r="K13" s="11"/>
    </row>
    <row r="14" spans="1:14" x14ac:dyDescent="0.3">
      <c r="A14" s="71" t="s">
        <v>47</v>
      </c>
      <c r="B14" s="2"/>
      <c r="C14" s="2"/>
      <c r="D14" s="2"/>
      <c r="F14" s="40">
        <v>25</v>
      </c>
      <c r="G14" s="38">
        <v>6.3</v>
      </c>
      <c r="H14" s="42">
        <v>0</v>
      </c>
      <c r="I14" s="42">
        <f t="shared" ref="I14:I19" si="4">G14*0.9</f>
        <v>5.67</v>
      </c>
      <c r="J14" s="40">
        <f t="shared" ref="J14:J19" si="5">IF(AND($B$48&gt;H14,$B$48&lt;I14),F14,"")</f>
        <v>25</v>
      </c>
      <c r="K14" s="43">
        <f t="shared" ref="K14:K19" si="6">IF(J14="","",($B$48/3600)/((F14/2000)^2*PI()))</f>
        <v>0.20371832715762606</v>
      </c>
    </row>
    <row r="15" spans="1:14" x14ac:dyDescent="0.3">
      <c r="A15" s="91" t="s">
        <v>0</v>
      </c>
      <c r="B15" s="91" t="s">
        <v>1</v>
      </c>
      <c r="C15" s="91" t="s">
        <v>22</v>
      </c>
      <c r="D15" s="91" t="s">
        <v>38</v>
      </c>
      <c r="F15" s="40">
        <v>40</v>
      </c>
      <c r="G15" s="38">
        <v>10</v>
      </c>
      <c r="H15" s="42">
        <f>G15*0.05</f>
        <v>0.5</v>
      </c>
      <c r="I15" s="42">
        <f t="shared" si="4"/>
        <v>9</v>
      </c>
      <c r="J15" s="40" t="str">
        <f t="shared" si="5"/>
        <v/>
      </c>
      <c r="K15" s="43" t="str">
        <f t="shared" si="6"/>
        <v/>
      </c>
    </row>
    <row r="16" spans="1:14" x14ac:dyDescent="0.3">
      <c r="A16" s="13" t="s">
        <v>2</v>
      </c>
      <c r="B16" s="49">
        <v>0.05</v>
      </c>
      <c r="C16" s="67">
        <v>2</v>
      </c>
      <c r="D16" s="49">
        <f t="shared" ref="D16:D37" si="7">IF(C16="","",C16*B16)</f>
        <v>0.1</v>
      </c>
      <c r="F16" s="40">
        <v>50</v>
      </c>
      <c r="G16" s="38">
        <v>25</v>
      </c>
      <c r="H16" s="42">
        <f>G16*0.05</f>
        <v>1.25</v>
      </c>
      <c r="I16" s="42">
        <f t="shared" si="4"/>
        <v>22.5</v>
      </c>
      <c r="J16" s="40" t="str">
        <f t="shared" si="5"/>
        <v/>
      </c>
      <c r="K16" s="43" t="str">
        <f t="shared" si="6"/>
        <v/>
      </c>
    </row>
    <row r="17" spans="1:12" x14ac:dyDescent="0.3">
      <c r="A17" s="14" t="s">
        <v>3</v>
      </c>
      <c r="B17" s="49">
        <v>0.1</v>
      </c>
      <c r="C17" s="67"/>
      <c r="D17" s="49" t="str">
        <f t="shared" si="7"/>
        <v/>
      </c>
      <c r="F17" s="40">
        <v>80</v>
      </c>
      <c r="G17" s="38">
        <v>63</v>
      </c>
      <c r="H17" s="42">
        <f>G17*0.05</f>
        <v>3.1500000000000004</v>
      </c>
      <c r="I17" s="42">
        <f t="shared" si="4"/>
        <v>56.7</v>
      </c>
      <c r="J17" s="40" t="str">
        <f t="shared" si="5"/>
        <v/>
      </c>
      <c r="K17" s="43" t="str">
        <f t="shared" si="6"/>
        <v/>
      </c>
    </row>
    <row r="18" spans="1:12" x14ac:dyDescent="0.3">
      <c r="A18" s="14" t="s">
        <v>4</v>
      </c>
      <c r="B18" s="49">
        <v>0.2</v>
      </c>
      <c r="C18" s="67"/>
      <c r="D18" s="49" t="str">
        <f t="shared" si="7"/>
        <v/>
      </c>
      <c r="F18" s="40">
        <v>100</v>
      </c>
      <c r="G18" s="38">
        <v>100</v>
      </c>
      <c r="H18" s="42">
        <f>G18*0.05</f>
        <v>5</v>
      </c>
      <c r="I18" s="42">
        <f t="shared" si="4"/>
        <v>90</v>
      </c>
      <c r="J18" s="40" t="str">
        <f t="shared" si="5"/>
        <v/>
      </c>
      <c r="K18" s="43" t="str">
        <f t="shared" si="6"/>
        <v/>
      </c>
    </row>
    <row r="19" spans="1:12" x14ac:dyDescent="0.3">
      <c r="A19" s="14" t="s">
        <v>5</v>
      </c>
      <c r="B19" s="49">
        <v>0.3</v>
      </c>
      <c r="C19" s="67"/>
      <c r="D19" s="49" t="str">
        <f t="shared" si="7"/>
        <v/>
      </c>
      <c r="F19" s="40">
        <v>150</v>
      </c>
      <c r="G19" s="38">
        <v>250</v>
      </c>
      <c r="H19" s="42">
        <f>G19*0.05</f>
        <v>12.5</v>
      </c>
      <c r="I19" s="42">
        <f t="shared" si="4"/>
        <v>225</v>
      </c>
      <c r="J19" s="40" t="str">
        <f t="shared" si="5"/>
        <v/>
      </c>
      <c r="K19" s="43" t="str">
        <f t="shared" si="6"/>
        <v/>
      </c>
    </row>
    <row r="20" spans="1:12" x14ac:dyDescent="0.3">
      <c r="A20" s="14" t="s">
        <v>6</v>
      </c>
      <c r="B20" s="49">
        <v>0.2</v>
      </c>
      <c r="C20" s="67"/>
      <c r="D20" s="49" t="str">
        <f t="shared" si="7"/>
        <v/>
      </c>
    </row>
    <row r="21" spans="1:12" x14ac:dyDescent="0.3">
      <c r="A21" s="14" t="s">
        <v>7</v>
      </c>
      <c r="B21" s="49">
        <v>0.1</v>
      </c>
      <c r="C21" s="67"/>
      <c r="D21" s="49" t="str">
        <f t="shared" si="7"/>
        <v/>
      </c>
      <c r="F21" s="85" t="s">
        <v>27</v>
      </c>
      <c r="G21" s="85"/>
      <c r="H21" s="85"/>
      <c r="I21" s="85"/>
      <c r="J21" s="85"/>
      <c r="K21" s="85"/>
      <c r="L21" s="85"/>
    </row>
    <row r="22" spans="1:12" x14ac:dyDescent="0.3">
      <c r="A22" s="14" t="s">
        <v>8</v>
      </c>
      <c r="B22" s="49">
        <v>0.1</v>
      </c>
      <c r="C22" s="67"/>
      <c r="D22" s="49" t="str">
        <f t="shared" si="7"/>
        <v/>
      </c>
      <c r="F22" s="11" t="s">
        <v>24</v>
      </c>
      <c r="G22" s="11" t="s">
        <v>26</v>
      </c>
      <c r="H22" s="11" t="s">
        <v>28</v>
      </c>
      <c r="I22" s="11" t="s">
        <v>29</v>
      </c>
      <c r="J22" s="11" t="s">
        <v>27</v>
      </c>
      <c r="K22" s="11" t="s">
        <v>33</v>
      </c>
      <c r="L22" s="11"/>
    </row>
    <row r="23" spans="1:12" x14ac:dyDescent="0.3">
      <c r="A23" s="14" t="s">
        <v>9</v>
      </c>
      <c r="B23" s="49">
        <v>1.25</v>
      </c>
      <c r="C23" s="67"/>
      <c r="D23" s="49" t="str">
        <f t="shared" si="7"/>
        <v/>
      </c>
      <c r="F23" s="40">
        <v>20</v>
      </c>
      <c r="G23" s="56">
        <f>+F23-2.3*2</f>
        <v>15.4</v>
      </c>
      <c r="H23" s="24">
        <v>2</v>
      </c>
      <c r="I23" s="25">
        <f>PI()*(G23/2/1000)^2*H23*1000</f>
        <v>0.37253005686267771</v>
      </c>
      <c r="J23" s="40">
        <f>IF($B$48*1000/60/60&lt;=I23,F23,"")</f>
        <v>20</v>
      </c>
      <c r="K23" s="43">
        <f>IF(J23="","",($B$45/3600)/((G23/2000)^2*PI()))</f>
        <v>0.53686943191733971</v>
      </c>
      <c r="L23" s="25" t="s">
        <v>51</v>
      </c>
    </row>
    <row r="24" spans="1:12" x14ac:dyDescent="0.3">
      <c r="A24" s="55" t="s">
        <v>71</v>
      </c>
      <c r="B24" s="49">
        <v>0.15</v>
      </c>
      <c r="C24" s="67"/>
      <c r="D24" s="49" t="str">
        <f t="shared" si="7"/>
        <v/>
      </c>
      <c r="F24" s="40">
        <v>32</v>
      </c>
      <c r="G24" s="56">
        <v>26</v>
      </c>
      <c r="H24" s="24">
        <v>2</v>
      </c>
      <c r="I24" s="25">
        <f t="shared" ref="I24:I31" si="8">PI()*(G24/2/1000)^2*H24*1000</f>
        <v>1.06185831691335</v>
      </c>
      <c r="J24" s="40">
        <f t="shared" ref="J24:J31" si="9">IF($B$48*1000/60/60&lt;=I24,F24,"")</f>
        <v>32</v>
      </c>
      <c r="K24" s="43">
        <f t="shared" ref="K24:K31" si="10">IF(J24="","",($B$45/3600)/((G24/2000)^2*PI()))</f>
        <v>0.18834904507916614</v>
      </c>
      <c r="L24" s="25" t="s">
        <v>52</v>
      </c>
    </row>
    <row r="25" spans="1:12" x14ac:dyDescent="0.3">
      <c r="A25" s="55" t="s">
        <v>10</v>
      </c>
      <c r="B25" s="49">
        <v>0.04</v>
      </c>
      <c r="C25" s="67"/>
      <c r="D25" s="49" t="str">
        <f t="shared" si="7"/>
        <v/>
      </c>
      <c r="F25" s="40">
        <v>40</v>
      </c>
      <c r="G25" s="56">
        <v>32.6</v>
      </c>
      <c r="H25" s="24">
        <v>2</v>
      </c>
      <c r="I25" s="25">
        <f t="shared" si="8"/>
        <v>1.6693795042645447</v>
      </c>
      <c r="J25" s="40">
        <f t="shared" si="9"/>
        <v>40</v>
      </c>
      <c r="K25" s="43">
        <f t="shared" si="10"/>
        <v>0.11980499310617285</v>
      </c>
      <c r="L25" s="25" t="s">
        <v>52</v>
      </c>
    </row>
    <row r="26" spans="1:12" x14ac:dyDescent="0.3">
      <c r="A26" s="55" t="s">
        <v>11</v>
      </c>
      <c r="B26" s="49">
        <v>0.2</v>
      </c>
      <c r="C26" s="67"/>
      <c r="D26" s="49" t="str">
        <f t="shared" si="7"/>
        <v/>
      </c>
      <c r="F26" s="40">
        <v>63</v>
      </c>
      <c r="G26" s="56">
        <v>51.4</v>
      </c>
      <c r="H26" s="24">
        <v>2</v>
      </c>
      <c r="I26" s="25">
        <f t="shared" si="8"/>
        <v>4.1499810635390455</v>
      </c>
      <c r="J26" s="40">
        <f t="shared" si="9"/>
        <v>63</v>
      </c>
      <c r="K26" s="43">
        <f t="shared" si="10"/>
        <v>4.819299098908246E-2</v>
      </c>
      <c r="L26" s="25" t="s">
        <v>52</v>
      </c>
    </row>
    <row r="27" spans="1:12" x14ac:dyDescent="0.3">
      <c r="A27" s="55" t="s">
        <v>12</v>
      </c>
      <c r="B27" s="49">
        <v>0.3</v>
      </c>
      <c r="C27" s="67"/>
      <c r="D27" s="49" t="str">
        <f t="shared" si="7"/>
        <v/>
      </c>
      <c r="F27" s="40">
        <v>90</v>
      </c>
      <c r="G27" s="56">
        <v>73.599999999999994</v>
      </c>
      <c r="H27" s="24">
        <v>2.5</v>
      </c>
      <c r="I27" s="25">
        <f t="shared" si="8"/>
        <v>10.636176087993602</v>
      </c>
      <c r="J27" s="40">
        <f t="shared" si="9"/>
        <v>90</v>
      </c>
      <c r="K27" s="43">
        <f t="shared" si="10"/>
        <v>2.3504687956624436E-2</v>
      </c>
      <c r="L27" s="25" t="s">
        <v>52</v>
      </c>
    </row>
    <row r="28" spans="1:12" x14ac:dyDescent="0.3">
      <c r="A28" s="55" t="s">
        <v>13</v>
      </c>
      <c r="B28" s="49">
        <v>0.15</v>
      </c>
      <c r="C28" s="67"/>
      <c r="D28" s="49" t="str">
        <f t="shared" si="7"/>
        <v/>
      </c>
      <c r="F28" s="40">
        <v>125</v>
      </c>
      <c r="G28" s="56">
        <v>102.3</v>
      </c>
      <c r="H28" s="24">
        <v>2.5</v>
      </c>
      <c r="I28" s="25">
        <f t="shared" si="8"/>
        <v>20.548548863554206</v>
      </c>
      <c r="J28" s="40">
        <f t="shared" si="9"/>
        <v>125</v>
      </c>
      <c r="K28" s="43">
        <f t="shared" si="10"/>
        <v>1.2166309244513653E-2</v>
      </c>
      <c r="L28" s="25" t="s">
        <v>52</v>
      </c>
    </row>
    <row r="29" spans="1:12" x14ac:dyDescent="0.3">
      <c r="A29" s="55" t="s">
        <v>14</v>
      </c>
      <c r="B29" s="49">
        <v>0.25</v>
      </c>
      <c r="C29" s="67"/>
      <c r="D29" s="49" t="str">
        <f t="shared" si="7"/>
        <v/>
      </c>
      <c r="F29" s="40">
        <v>180</v>
      </c>
      <c r="G29" s="56">
        <v>147.30000000000001</v>
      </c>
      <c r="H29" s="24">
        <v>2.5</v>
      </c>
      <c r="I29" s="25">
        <f t="shared" si="8"/>
        <v>42.602529291754564</v>
      </c>
      <c r="J29" s="40">
        <f t="shared" si="9"/>
        <v>180</v>
      </c>
      <c r="K29" s="43">
        <f t="shared" si="10"/>
        <v>5.86819618825744E-3</v>
      </c>
      <c r="L29" s="25" t="s">
        <v>52</v>
      </c>
    </row>
    <row r="30" spans="1:12" x14ac:dyDescent="0.3">
      <c r="A30" s="55" t="s">
        <v>15</v>
      </c>
      <c r="B30" s="49">
        <v>0.2</v>
      </c>
      <c r="C30" s="67"/>
      <c r="D30" s="49" t="str">
        <f t="shared" si="7"/>
        <v/>
      </c>
      <c r="F30" s="40">
        <v>250</v>
      </c>
      <c r="G30" s="56">
        <v>204.5</v>
      </c>
      <c r="H30" s="24">
        <v>2.5</v>
      </c>
      <c r="I30" s="25">
        <f t="shared" si="8"/>
        <v>82.113868857055323</v>
      </c>
      <c r="J30" s="40">
        <f t="shared" si="9"/>
        <v>250</v>
      </c>
      <c r="K30" s="43">
        <f t="shared" si="10"/>
        <v>3.0445526861631943E-3</v>
      </c>
      <c r="L30" s="25" t="s">
        <v>52</v>
      </c>
    </row>
    <row r="31" spans="1:12" x14ac:dyDescent="0.3">
      <c r="A31" s="55" t="s">
        <v>16</v>
      </c>
      <c r="B31" s="49">
        <v>0.2</v>
      </c>
      <c r="C31" s="67"/>
      <c r="D31" s="49" t="str">
        <f t="shared" si="7"/>
        <v/>
      </c>
      <c r="F31" s="40">
        <v>315</v>
      </c>
      <c r="G31" s="56">
        <v>257.7</v>
      </c>
      <c r="H31" s="24">
        <v>2.5</v>
      </c>
      <c r="I31" s="25">
        <f t="shared" si="8"/>
        <v>130.39433599632133</v>
      </c>
      <c r="J31" s="40">
        <f t="shared" si="9"/>
        <v>315</v>
      </c>
      <c r="K31" s="43">
        <f t="shared" si="10"/>
        <v>1.9172611915217932E-3</v>
      </c>
      <c r="L31" s="25" t="s">
        <v>52</v>
      </c>
    </row>
    <row r="32" spans="1:12" x14ac:dyDescent="0.3">
      <c r="A32" s="55" t="s">
        <v>17</v>
      </c>
      <c r="B32" s="49">
        <v>0.6</v>
      </c>
      <c r="C32" s="67"/>
      <c r="D32" s="49" t="str">
        <f t="shared" si="7"/>
        <v/>
      </c>
    </row>
    <row r="33" spans="1:12" x14ac:dyDescent="0.3">
      <c r="A33" s="55" t="s">
        <v>39</v>
      </c>
      <c r="B33" s="49">
        <v>0.15</v>
      </c>
      <c r="C33" s="67"/>
      <c r="D33" s="49" t="str">
        <f t="shared" si="7"/>
        <v/>
      </c>
      <c r="F33" s="26" t="s">
        <v>44</v>
      </c>
    </row>
    <row r="34" spans="1:12" x14ac:dyDescent="0.3">
      <c r="A34" s="55" t="s">
        <v>18</v>
      </c>
      <c r="B34" s="49">
        <v>0.2</v>
      </c>
      <c r="C34" s="67"/>
      <c r="D34" s="49" t="str">
        <f t="shared" si="7"/>
        <v/>
      </c>
      <c r="F34" s="8" t="s">
        <v>40</v>
      </c>
    </row>
    <row r="35" spans="1:12" x14ac:dyDescent="0.3">
      <c r="A35" s="55" t="s">
        <v>19</v>
      </c>
      <c r="B35" s="49">
        <v>0.2</v>
      </c>
      <c r="C35" s="67"/>
      <c r="D35" s="49" t="str">
        <f t="shared" si="7"/>
        <v/>
      </c>
      <c r="F35" s="81" t="s">
        <v>50</v>
      </c>
      <c r="G35" s="81"/>
      <c r="H35" s="81"/>
      <c r="I35" s="81"/>
      <c r="J35" s="81"/>
      <c r="K35" s="81"/>
      <c r="L35" s="81"/>
    </row>
    <row r="36" spans="1:12" x14ac:dyDescent="0.3">
      <c r="A36" s="69"/>
      <c r="B36" s="69"/>
      <c r="C36" s="67"/>
      <c r="D36" s="49" t="str">
        <f t="shared" si="7"/>
        <v/>
      </c>
    </row>
    <row r="37" spans="1:12" x14ac:dyDescent="0.3">
      <c r="A37" s="69"/>
      <c r="B37" s="69"/>
      <c r="C37" s="67"/>
      <c r="D37" s="49" t="str">
        <f t="shared" si="7"/>
        <v/>
      </c>
    </row>
    <row r="38" spans="1:12" x14ac:dyDescent="0.3">
      <c r="A38" s="57" t="s">
        <v>20</v>
      </c>
      <c r="B38" s="55"/>
      <c r="C38" s="68">
        <f>SUM(C16:C37)</f>
        <v>2</v>
      </c>
      <c r="D38" s="58">
        <f>SUM(D16:D37)</f>
        <v>0.1</v>
      </c>
    </row>
    <row r="39" spans="1:12" x14ac:dyDescent="0.3">
      <c r="A39" s="55" t="s">
        <v>35</v>
      </c>
      <c r="B39" s="89">
        <f>1/(C38-1)^0.5</f>
        <v>1</v>
      </c>
      <c r="C39" s="90"/>
      <c r="D39" s="2"/>
    </row>
    <row r="40" spans="1:12" x14ac:dyDescent="0.3">
      <c r="A40" s="47"/>
      <c r="B40" s="48"/>
      <c r="C40" s="48"/>
      <c r="D40" s="2"/>
    </row>
    <row r="41" spans="1:12" x14ac:dyDescent="0.3">
      <c r="A41" s="71" t="s">
        <v>48</v>
      </c>
      <c r="B41" s="2"/>
      <c r="C41" s="2"/>
      <c r="D41" s="2"/>
    </row>
    <row r="42" spans="1:12" x14ac:dyDescent="0.3">
      <c r="A42" s="55" t="s">
        <v>34</v>
      </c>
      <c r="B42" s="74">
        <v>1</v>
      </c>
      <c r="C42" s="2"/>
      <c r="D42" s="2"/>
    </row>
    <row r="43" spans="1:12" x14ac:dyDescent="0.3">
      <c r="A43" s="55" t="s">
        <v>37</v>
      </c>
      <c r="B43" s="59">
        <f>(19+B42)/(10*(B42+1))</f>
        <v>1</v>
      </c>
      <c r="C43" s="2"/>
      <c r="D43" s="2"/>
    </row>
    <row r="44" spans="1:12" x14ac:dyDescent="0.3">
      <c r="A44" s="55" t="s">
        <v>36</v>
      </c>
      <c r="B44" s="65">
        <f>D38*B42*B39*B43</f>
        <v>0.1</v>
      </c>
      <c r="C44" s="2"/>
      <c r="D44" s="2"/>
    </row>
    <row r="45" spans="1:12" x14ac:dyDescent="0.3">
      <c r="A45" s="55" t="s">
        <v>36</v>
      </c>
      <c r="B45" s="60">
        <f>B44/1000*3600</f>
        <v>0.36000000000000004</v>
      </c>
      <c r="C45" s="2"/>
      <c r="D45" s="2"/>
    </row>
    <row r="46" spans="1:12" x14ac:dyDescent="0.3">
      <c r="B46" s="46"/>
      <c r="C46" s="2"/>
      <c r="D46" s="2"/>
    </row>
    <row r="47" spans="1:12" x14ac:dyDescent="0.3">
      <c r="A47" s="71" t="s">
        <v>49</v>
      </c>
      <c r="C47" s="2"/>
      <c r="D47" s="2"/>
    </row>
    <row r="48" spans="1:12" x14ac:dyDescent="0.3">
      <c r="A48" s="45" t="s">
        <v>32</v>
      </c>
      <c r="B48" s="60">
        <f>B12+B45</f>
        <v>0.36000000000000004</v>
      </c>
      <c r="C48" s="2"/>
      <c r="D48" s="2"/>
    </row>
    <row r="50" spans="1:4" x14ac:dyDescent="0.3">
      <c r="A50" s="71" t="s">
        <v>64</v>
      </c>
      <c r="B50" s="46"/>
      <c r="C50" s="46"/>
      <c r="D50" s="46"/>
    </row>
    <row r="51" spans="1:4" x14ac:dyDescent="0.3">
      <c r="A51" s="38" t="s">
        <v>70</v>
      </c>
      <c r="B51" s="40" t="s">
        <v>33</v>
      </c>
      <c r="C51" s="51"/>
      <c r="D51" s="51"/>
    </row>
    <row r="52" spans="1:4" x14ac:dyDescent="0.3">
      <c r="A52" s="40">
        <f t="shared" ref="A52:A59" si="11">J3</f>
        <v>15</v>
      </c>
      <c r="B52" s="43">
        <f t="shared" ref="B52:B59" si="12">+K3</f>
        <v>0.56588424210451693</v>
      </c>
      <c r="C52" s="61"/>
      <c r="D52" s="61"/>
    </row>
    <row r="53" spans="1:4" x14ac:dyDescent="0.3">
      <c r="A53" s="40" t="str">
        <f t="shared" si="11"/>
        <v/>
      </c>
      <c r="B53" s="43" t="str">
        <f t="shared" si="12"/>
        <v/>
      </c>
      <c r="C53" s="61"/>
      <c r="D53" s="61"/>
    </row>
    <row r="54" spans="1:4" x14ac:dyDescent="0.3">
      <c r="A54" s="40" t="str">
        <f t="shared" si="11"/>
        <v/>
      </c>
      <c r="B54" s="43" t="str">
        <f t="shared" si="12"/>
        <v/>
      </c>
      <c r="C54" s="61"/>
      <c r="D54" s="61"/>
    </row>
    <row r="55" spans="1:4" x14ac:dyDescent="0.3">
      <c r="A55" s="40" t="str">
        <f t="shared" si="11"/>
        <v/>
      </c>
      <c r="B55" s="43" t="str">
        <f t="shared" si="12"/>
        <v/>
      </c>
      <c r="C55" s="61"/>
      <c r="D55" s="61"/>
    </row>
    <row r="56" spans="1:4" x14ac:dyDescent="0.3">
      <c r="A56" s="40" t="str">
        <f t="shared" si="11"/>
        <v/>
      </c>
      <c r="B56" s="43" t="str">
        <f t="shared" si="12"/>
        <v/>
      </c>
      <c r="C56" s="61"/>
      <c r="D56" s="61"/>
    </row>
    <row r="57" spans="1:4" x14ac:dyDescent="0.3">
      <c r="A57" s="40" t="str">
        <f t="shared" si="11"/>
        <v/>
      </c>
      <c r="B57" s="43" t="str">
        <f t="shared" si="12"/>
        <v/>
      </c>
      <c r="C57" s="61"/>
      <c r="D57" s="61"/>
    </row>
    <row r="58" spans="1:4" x14ac:dyDescent="0.3">
      <c r="A58" s="40" t="str">
        <f t="shared" si="11"/>
        <v/>
      </c>
      <c r="B58" s="43" t="str">
        <f t="shared" si="12"/>
        <v/>
      </c>
      <c r="C58" s="61"/>
      <c r="D58" s="61"/>
    </row>
    <row r="59" spans="1:4" x14ac:dyDescent="0.3">
      <c r="A59" s="62" t="str">
        <f t="shared" si="11"/>
        <v/>
      </c>
      <c r="B59" s="43" t="str">
        <f t="shared" si="12"/>
        <v/>
      </c>
      <c r="C59" s="61"/>
      <c r="D59" s="61"/>
    </row>
    <row r="61" spans="1:4" x14ac:dyDescent="0.3">
      <c r="A61" s="71" t="s">
        <v>65</v>
      </c>
      <c r="B61" s="46"/>
      <c r="C61" s="46"/>
      <c r="D61" s="46"/>
    </row>
    <row r="62" spans="1:4" x14ac:dyDescent="0.3">
      <c r="A62" s="38" t="s">
        <v>70</v>
      </c>
      <c r="B62" s="40" t="s">
        <v>33</v>
      </c>
      <c r="C62" s="51"/>
      <c r="D62" s="51"/>
    </row>
    <row r="63" spans="1:4" x14ac:dyDescent="0.3">
      <c r="A63" s="62">
        <f t="shared" ref="A63:B68" si="13">+J14</f>
        <v>25</v>
      </c>
      <c r="B63" s="43">
        <f t="shared" si="13"/>
        <v>0.20371832715762606</v>
      </c>
      <c r="C63" s="61"/>
      <c r="D63" s="61"/>
    </row>
    <row r="64" spans="1:4" x14ac:dyDescent="0.3">
      <c r="A64" s="62" t="str">
        <f t="shared" si="13"/>
        <v/>
      </c>
      <c r="B64" s="43" t="str">
        <f t="shared" si="13"/>
        <v/>
      </c>
      <c r="C64" s="61"/>
      <c r="D64" s="61"/>
    </row>
    <row r="65" spans="1:4" x14ac:dyDescent="0.3">
      <c r="A65" s="62" t="str">
        <f t="shared" si="13"/>
        <v/>
      </c>
      <c r="B65" s="43" t="str">
        <f t="shared" si="13"/>
        <v/>
      </c>
      <c r="C65" s="61"/>
      <c r="D65" s="61"/>
    </row>
    <row r="66" spans="1:4" x14ac:dyDescent="0.3">
      <c r="A66" s="62" t="str">
        <f t="shared" si="13"/>
        <v/>
      </c>
      <c r="B66" s="43" t="str">
        <f t="shared" si="13"/>
        <v/>
      </c>
      <c r="C66" s="61"/>
      <c r="D66" s="61"/>
    </row>
    <row r="67" spans="1:4" x14ac:dyDescent="0.3">
      <c r="A67" s="62" t="str">
        <f t="shared" si="13"/>
        <v/>
      </c>
      <c r="B67" s="43" t="str">
        <f t="shared" si="13"/>
        <v/>
      </c>
      <c r="C67" s="61"/>
      <c r="D67" s="61"/>
    </row>
    <row r="68" spans="1:4" x14ac:dyDescent="0.3">
      <c r="A68" s="62" t="str">
        <f t="shared" si="13"/>
        <v/>
      </c>
      <c r="B68" s="43" t="str">
        <f t="shared" si="13"/>
        <v/>
      </c>
      <c r="C68" s="61"/>
      <c r="D68" s="61"/>
    </row>
    <row r="69" spans="1:4" x14ac:dyDescent="0.3">
      <c r="B69" s="63"/>
      <c r="C69" s="63"/>
      <c r="D69" s="63"/>
    </row>
    <row r="70" spans="1:4" x14ac:dyDescent="0.3">
      <c r="A70" s="71" t="s">
        <v>66</v>
      </c>
      <c r="B70" s="46"/>
      <c r="C70" s="46"/>
      <c r="D70" s="46"/>
    </row>
    <row r="71" spans="1:4" ht="27.6" x14ac:dyDescent="0.3">
      <c r="A71" s="39" t="s">
        <v>56</v>
      </c>
      <c r="B71" s="32" t="s">
        <v>57</v>
      </c>
      <c r="C71" s="34"/>
      <c r="D71" s="34"/>
    </row>
    <row r="72" spans="1:4" x14ac:dyDescent="0.3">
      <c r="A72" s="62">
        <f t="shared" ref="A72:A80" si="14">+J23</f>
        <v>20</v>
      </c>
      <c r="B72" s="64">
        <f t="shared" ref="B72:B80" si="15">+K23</f>
        <v>0.53686943191733971</v>
      </c>
      <c r="C72" s="61"/>
      <c r="D72" s="61"/>
    </row>
    <row r="73" spans="1:4" x14ac:dyDescent="0.3">
      <c r="A73" s="62">
        <f t="shared" si="14"/>
        <v>32</v>
      </c>
      <c r="B73" s="64">
        <f t="shared" si="15"/>
        <v>0.18834904507916614</v>
      </c>
      <c r="C73" s="61"/>
      <c r="D73" s="61"/>
    </row>
    <row r="74" spans="1:4" x14ac:dyDescent="0.3">
      <c r="A74" s="62">
        <f t="shared" si="14"/>
        <v>40</v>
      </c>
      <c r="B74" s="64">
        <f t="shared" si="15"/>
        <v>0.11980499310617285</v>
      </c>
      <c r="C74" s="61"/>
      <c r="D74" s="61"/>
    </row>
    <row r="75" spans="1:4" x14ac:dyDescent="0.3">
      <c r="A75" s="62">
        <f t="shared" si="14"/>
        <v>63</v>
      </c>
      <c r="B75" s="64">
        <f t="shared" si="15"/>
        <v>4.819299098908246E-2</v>
      </c>
      <c r="C75" s="61"/>
      <c r="D75" s="61"/>
    </row>
    <row r="76" spans="1:4" x14ac:dyDescent="0.3">
      <c r="A76" s="62">
        <f t="shared" si="14"/>
        <v>90</v>
      </c>
      <c r="B76" s="64">
        <f t="shared" si="15"/>
        <v>2.3504687956624436E-2</v>
      </c>
      <c r="C76" s="61"/>
      <c r="D76" s="61"/>
    </row>
    <row r="77" spans="1:4" x14ac:dyDescent="0.3">
      <c r="A77" s="62">
        <f t="shared" si="14"/>
        <v>125</v>
      </c>
      <c r="B77" s="64">
        <f t="shared" si="15"/>
        <v>1.2166309244513653E-2</v>
      </c>
      <c r="C77" s="61"/>
      <c r="D77" s="61"/>
    </row>
    <row r="78" spans="1:4" x14ac:dyDescent="0.3">
      <c r="A78" s="62">
        <f t="shared" si="14"/>
        <v>180</v>
      </c>
      <c r="B78" s="64">
        <f t="shared" si="15"/>
        <v>5.86819618825744E-3</v>
      </c>
      <c r="C78" s="61"/>
      <c r="D78" s="61"/>
    </row>
    <row r="79" spans="1:4" x14ac:dyDescent="0.3">
      <c r="A79" s="62">
        <f t="shared" si="14"/>
        <v>250</v>
      </c>
      <c r="B79" s="64">
        <f t="shared" si="15"/>
        <v>3.0445526861631943E-3</v>
      </c>
      <c r="C79" s="61"/>
      <c r="D79" s="61"/>
    </row>
    <row r="80" spans="1:4" x14ac:dyDescent="0.3">
      <c r="A80" s="62">
        <f t="shared" si="14"/>
        <v>315</v>
      </c>
      <c r="B80" s="64">
        <f t="shared" si="15"/>
        <v>1.9172611915217932E-3</v>
      </c>
      <c r="C80" s="61"/>
      <c r="D80" s="61"/>
    </row>
  </sheetData>
  <mergeCells count="8">
    <mergeCell ref="B39:C39"/>
    <mergeCell ref="F35:L35"/>
    <mergeCell ref="A1:B1"/>
    <mergeCell ref="M1:N1"/>
    <mergeCell ref="A2:B2"/>
    <mergeCell ref="F21:L21"/>
    <mergeCell ref="F1:G1"/>
    <mergeCell ref="F12:G12"/>
  </mergeCells>
  <conditionalFormatting sqref="A5:A7">
    <cfRule type="expression" dxfId="1" priority="2">
      <formula>$B$5=""</formula>
    </cfRule>
  </conditionalFormatting>
  <conditionalFormatting sqref="B5:B6">
    <cfRule type="expression" dxfId="0" priority="3">
      <formula>$B$5=""</formula>
    </cfRule>
  </conditionalFormatting>
  <dataValidations count="2">
    <dataValidation type="list" allowBlank="1" showInputMessage="1" showErrorMessage="1" sqref="B5" xr:uid="{80ED5A4D-2FA5-450D-96E0-A900968DE050}">
      <formula1>"1,2,3,4,5,6"</formula1>
    </dataValidation>
    <dataValidation type="list" allowBlank="1" showInputMessage="1" showErrorMessage="1" errorTitle="Tipo de proyecto" error="Seleccionar entre Residencial y No residencial o mixto." promptTitle="Tipo de proyecto" sqref="D4:D13" xr:uid="{DD55F7B0-0DED-4E21-9A33-F725C7484A41}">
      <formula1>"Residencial, No residencial o mixto"</formula1>
    </dataValidation>
  </dataValidations>
  <printOptions horizontalCentered="1"/>
  <pageMargins left="1.1811023622047201" right="1.1811023622047201" top="1.1811023622047201" bottom="1.1811023622047201" header="0.31496062992126" footer="0.31496062992126"/>
  <pageSetup scale="82" orientation="portrait" r:id="rId1"/>
  <rowBreaks count="1" manualBreakCount="1">
    <brk id="48" max="3" man="1"/>
  </rowBreaks>
  <ignoredErrors>
    <ignoredError sqref="B7:B8 B10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4AA7736A0722E48A6E394ED6C68D49A" ma:contentTypeVersion="0" ma:contentTypeDescription="Crear nuevo documento." ma:contentTypeScope="" ma:versionID="bafc242a67d0747c2fc128bf8986d51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F5391FF-414E-4B85-9E7E-3FA7C18672EB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A5E64684-1585-4E9E-9C7E-96085262F10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83F51CD-D8BF-42D6-9A1E-52BB151DDD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Metadata/LabelInfo.xml><?xml version="1.0" encoding="utf-8"?>
<clbl:labelList xmlns:clbl="http://schemas.microsoft.com/office/2020/mipLabelMetadata">
  <clbl:label id="{6ebbfa72-b3b6-4c1f-8b23-058d4f67f013}" enabled="1" method="Privileged" siteId="{bf1ce8b5-5d39-4bc5-ad6e-07b3e4d7d67a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Sistema con bombeo</vt:lpstr>
      <vt:lpstr>Presión directa de la red</vt:lpstr>
      <vt:lpstr>Mixto</vt:lpstr>
      <vt:lpstr>Mixto!Área_de_impresión</vt:lpstr>
      <vt:lpstr>'Presión directa de la red'!Área_de_impresión</vt:lpstr>
      <vt:lpstr>'Sistema con bombeo'!Área_de_impresión</vt:lpstr>
      <vt:lpstr>Mixto!Títulos_a_imprimir</vt:lpstr>
      <vt:lpstr>'Presión directa de la red'!Títulos_a_imprimir</vt:lpstr>
      <vt:lpstr>'Sistema con bombeo'!Títulos_a_imprimir</vt:lpstr>
    </vt:vector>
  </TitlesOfParts>
  <Company>EPM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cvelezm</dc:creator>
  <cp:lastModifiedBy>CARLOS ALBERTO VELEZ MESA</cp:lastModifiedBy>
  <cp:lastPrinted>2025-06-26T19:28:54Z</cp:lastPrinted>
  <dcterms:created xsi:type="dcterms:W3CDTF">2012-07-11T18:01:56Z</dcterms:created>
  <dcterms:modified xsi:type="dcterms:W3CDTF">2025-06-27T21:47:19Z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0x01010094AA7736A0722E48A6E394ED6C68D49A</vt:lpwstr>
  </property>
  <property fmtid="{D5CDD505-2E9C-101B-9397-08002B2CF9AE}" pid="3" name="MSIP_Label_666bb131-2344-48ed-84db-fe1e84a9fae2_Enabled">
    <vt:lpwstr>true</vt:lpwstr>
  </property>
  <property fmtid="{D5CDD505-2E9C-101B-9397-08002B2CF9AE}" pid="4" name="MSIP_Label_666bb131-2344-48ed-84db-fe1e84a9fae2_SetDate">
    <vt:lpwstr>2022-03-24T22:18:02Z</vt:lpwstr>
  </property>
  <property fmtid="{D5CDD505-2E9C-101B-9397-08002B2CF9AE}" pid="5" name="MSIP_Label_666bb131-2344-48ed-84db-fe1e84a9fae2_Method">
    <vt:lpwstr>Standard</vt:lpwstr>
  </property>
  <property fmtid="{D5CDD505-2E9C-101B-9397-08002B2CF9AE}" pid="6" name="MSIP_Label_666bb131-2344-48ed-84db-fe1e84a9fae2_Name">
    <vt:lpwstr>666bb131-2344-48ed-84db-fe1e84a9fae2</vt:lpwstr>
  </property>
  <property fmtid="{D5CDD505-2E9C-101B-9397-08002B2CF9AE}" pid="7" name="MSIP_Label_666bb131-2344-48ed-84db-fe1e84a9fae2_SiteId">
    <vt:lpwstr>bf1ce8b5-5d39-4bc5-ad6e-07b3e4d7d67a</vt:lpwstr>
  </property>
  <property fmtid="{D5CDD505-2E9C-101B-9397-08002B2CF9AE}" pid="8" name="MSIP_Label_666bb131-2344-48ed-84db-fe1e84a9fae2_ActionId">
    <vt:lpwstr>c079858a-607f-4ee8-b9f2-c678ab8ba9c6</vt:lpwstr>
  </property>
  <property fmtid="{D5CDD505-2E9C-101B-9397-08002B2CF9AE}" pid="9" name="MSIP_Label_666bb131-2344-48ed-84db-fe1e84a9fae2_ContentBits">
    <vt:lpwstr>0</vt:lpwstr>
  </property>
</Properties>
</file>